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DD2C2B5-2BD2-4E8A-B1FE-0ECA357C3E7B}" xr6:coauthVersionLast="36" xr6:coauthVersionMax="36" xr10:uidLastSave="{00000000-0000-0000-0000-000000000000}"/>
  <bookViews>
    <workbookView xWindow="0" yWindow="0" windowWidth="28800" windowHeight="11925" tabRatio="851"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эфф'!$A$1:$AF$91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I30" i="15" l="1"/>
  <c r="I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D26" i="5" l="1"/>
  <c r="E64" i="15"/>
  <c r="E63" i="15"/>
  <c r="E62" i="15"/>
  <c r="E61" i="15"/>
  <c r="E60" i="15"/>
  <c r="E59" i="15"/>
  <c r="E58" i="15"/>
  <c r="E55" i="15"/>
  <c r="E53" i="15"/>
  <c r="E51" i="15"/>
  <c r="E43" i="15"/>
  <c r="E42" i="15"/>
  <c r="E41" i="15"/>
  <c r="E40" i="15"/>
  <c r="E39" i="15"/>
  <c r="E38" i="15"/>
  <c r="E37" i="15"/>
  <c r="E36" i="15"/>
  <c r="E35" i="15"/>
  <c r="E34" i="15"/>
  <c r="E33" i="15"/>
  <c r="E32" i="15"/>
  <c r="E31" i="15"/>
  <c r="E29" i="15"/>
  <c r="E28" i="15"/>
  <c r="E26" i="15"/>
  <c r="E25" i="15"/>
  <c r="D30" i="15"/>
  <c r="D24" i="15"/>
  <c r="J30" i="15"/>
  <c r="J24" i="15"/>
  <c r="F45" i="24"/>
  <c r="F46" i="24"/>
  <c r="G129" i="23" l="1"/>
  <c r="H129" i="23" s="1"/>
  <c r="I129" i="23" s="1"/>
  <c r="J129" i="23" s="1"/>
  <c r="K129" i="23" s="1"/>
  <c r="L129" i="23" s="1"/>
  <c r="M129" i="23" s="1"/>
  <c r="N129" i="23" s="1"/>
  <c r="O129" i="23" s="1"/>
  <c r="P129" i="23" s="1"/>
  <c r="Q129" i="23" s="1"/>
  <c r="R129" i="23" s="1"/>
  <c r="S129" i="23" s="1"/>
  <c r="T129" i="23" s="1"/>
  <c r="U129" i="23" s="1"/>
  <c r="V129" i="23" s="1"/>
  <c r="W129" i="23" s="1"/>
  <c r="X129" i="23" s="1"/>
  <c r="Y129" i="23" s="1"/>
  <c r="Z129" i="23" s="1"/>
  <c r="AA129" i="23" s="1"/>
  <c r="AB129" i="23" s="1"/>
  <c r="AC129" i="23" s="1"/>
  <c r="AD129" i="23" s="1"/>
  <c r="AE129" i="23" s="1"/>
  <c r="AF129" i="23" s="1"/>
  <c r="AG129" i="23" s="1"/>
  <c r="H24" i="15" l="1"/>
  <c r="K24" i="15"/>
  <c r="H30" i="15"/>
  <c r="C81" i="23" s="1"/>
  <c r="K30" i="15"/>
  <c r="C50" i="15"/>
  <c r="C49" i="15"/>
  <c r="E49" i="15" s="1"/>
  <c r="C48" i="15"/>
  <c r="E48" i="15" s="1"/>
  <c r="C47" i="15"/>
  <c r="C46" i="15"/>
  <c r="E46" i="15" s="1"/>
  <c r="C45" i="15"/>
  <c r="E45" i="15" s="1"/>
  <c r="C44" i="15"/>
  <c r="E44" i="15" s="1"/>
  <c r="C30" i="15"/>
  <c r="C24" i="15"/>
  <c r="B27" i="25" s="1"/>
  <c r="D54" i="24"/>
  <c r="D51" i="24"/>
  <c r="D46" i="24"/>
  <c r="D45" i="24"/>
  <c r="D43" i="24"/>
  <c r="D42" i="24"/>
  <c r="D40" i="24"/>
  <c r="D36" i="24"/>
  <c r="D34" i="24"/>
  <c r="D33" i="24"/>
  <c r="D30" i="24"/>
  <c r="D29" i="24"/>
  <c r="D28" i="24"/>
  <c r="D27" i="24"/>
  <c r="C57" i="15" l="1"/>
  <c r="E57" i="15" s="1"/>
  <c r="E50" i="15"/>
  <c r="C52" i="15"/>
  <c r="E52" i="15" s="1"/>
  <c r="B25" i="23"/>
  <c r="D67" i="23" s="1"/>
  <c r="C54" i="15"/>
  <c r="E54" i="15" s="1"/>
  <c r="C56" i="15"/>
  <c r="E56" i="15" s="1"/>
  <c r="E47" i="15"/>
  <c r="B73" i="23"/>
  <c r="B45" i="23" l="1"/>
  <c r="B29" i="23"/>
  <c r="B130" i="23"/>
  <c r="C130" i="23" s="1"/>
  <c r="D130" i="23" s="1"/>
  <c r="G30" i="15" l="1"/>
  <c r="B81" i="23" s="1"/>
  <c r="G24" i="15"/>
  <c r="K26" i="5" l="1"/>
  <c r="G26" i="5"/>
  <c r="B33" i="25" l="1"/>
  <c r="B49" i="23" l="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C48" i="23"/>
  <c r="D48" i="23"/>
  <c r="E48" i="23"/>
  <c r="F48" i="23"/>
  <c r="B48" i="23"/>
  <c r="AD26" i="5" l="1"/>
  <c r="L26" i="5"/>
  <c r="H51" i="24" l="1"/>
  <c r="H54" i="24"/>
  <c r="H46" i="24"/>
  <c r="H45" i="24"/>
  <c r="H43" i="24"/>
  <c r="B122" i="25" s="1"/>
  <c r="H42" i="24"/>
  <c r="H40" i="24"/>
  <c r="H36" i="24"/>
  <c r="H34" i="24"/>
  <c r="H33" i="24"/>
  <c r="R29" i="14"/>
  <c r="O24" i="13" l="1"/>
  <c r="C108" i="25" l="1"/>
  <c r="E30" i="15"/>
  <c r="O26" i="13"/>
  <c r="P26" i="13" s="1"/>
  <c r="N26" i="13"/>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AC30" i="15" s="1"/>
  <c r="C49" i="7" s="1"/>
  <c r="Q30" i="15"/>
  <c r="P30" i="15"/>
  <c r="O30" i="15"/>
  <c r="N30" i="15"/>
  <c r="M30" i="15"/>
  <c r="L30" i="15"/>
  <c r="AB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AC24" i="15" s="1"/>
  <c r="C48" i="7" s="1"/>
  <c r="M24" i="15"/>
  <c r="L24" i="15"/>
  <c r="AB24" i="15"/>
  <c r="E24" i="15"/>
  <c r="B98" i="25"/>
  <c r="H30" i="24" l="1"/>
  <c r="H29" i="24"/>
  <c r="H28" i="24"/>
  <c r="H27" i="24"/>
  <c r="D110" i="23"/>
  <c r="A15" i="23"/>
  <c r="A12" i="23"/>
  <c r="A9" i="23"/>
  <c r="A5" i="23"/>
  <c r="D134" i="23"/>
  <c r="D73" i="23" s="1"/>
  <c r="D85" i="23" s="1"/>
  <c r="C134" i="23"/>
  <c r="C73" i="23" s="1"/>
  <c r="E133" i="23"/>
  <c r="F133" i="23" s="1"/>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G112" i="23"/>
  <c r="B111"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B76" i="23"/>
  <c r="B74" i="23"/>
  <c r="A62" i="23"/>
  <c r="B60" i="23"/>
  <c r="C58" i="23"/>
  <c r="C74" i="23" s="1"/>
  <c r="B52" i="23"/>
  <c r="B47" i="23"/>
  <c r="B46" i="23"/>
  <c r="D111" i="23" l="1"/>
  <c r="G111" i="23"/>
  <c r="I111" i="23" s="1"/>
  <c r="I113" i="23" s="1"/>
  <c r="C102" i="23" s="1"/>
  <c r="G48" i="23"/>
  <c r="C49" i="23"/>
  <c r="F134" i="23"/>
  <c r="F73" i="23" s="1"/>
  <c r="C106" i="25"/>
  <c r="C47" i="23"/>
  <c r="G113" i="23"/>
  <c r="D58" i="23"/>
  <c r="D52" i="23" s="1"/>
  <c r="C52" i="23"/>
  <c r="B54" i="23"/>
  <c r="G133" i="23"/>
  <c r="G134" i="23" s="1"/>
  <c r="G73" i="23" s="1"/>
  <c r="E134" i="23"/>
  <c r="E73" i="23" s="1"/>
  <c r="C101" i="23" l="1"/>
  <c r="C50" i="23" s="1"/>
  <c r="C59" i="23" s="1"/>
  <c r="D102" i="23"/>
  <c r="E130" i="23"/>
  <c r="D49" i="23"/>
  <c r="H48" i="23"/>
  <c r="E58" i="23"/>
  <c r="F58" i="23" s="1"/>
  <c r="D74" i="23"/>
  <c r="D47" i="23"/>
  <c r="B55" i="23"/>
  <c r="B56" i="23" s="1"/>
  <c r="B69" i="23" s="1"/>
  <c r="B77" i="23" s="1"/>
  <c r="C76" i="23"/>
  <c r="F76" i="23"/>
  <c r="H133" i="23"/>
  <c r="E52" i="23" l="1"/>
  <c r="E74" i="23"/>
  <c r="D101" i="23"/>
  <c r="D50" i="23" s="1"/>
  <c r="D59" i="23" s="1"/>
  <c r="D80" i="23" s="1"/>
  <c r="E102" i="23"/>
  <c r="E47" i="23"/>
  <c r="I48" i="23"/>
  <c r="F130" i="23"/>
  <c r="E49" i="23"/>
  <c r="C53" i="23"/>
  <c r="C55" i="23" s="1"/>
  <c r="B82" i="23"/>
  <c r="G58" i="23"/>
  <c r="F52" i="23"/>
  <c r="F47" i="23"/>
  <c r="F74" i="23"/>
  <c r="E67" i="23"/>
  <c r="D76" i="23"/>
  <c r="I133" i="23"/>
  <c r="I134" i="23" s="1"/>
  <c r="H134" i="23"/>
  <c r="H73" i="23" s="1"/>
  <c r="E101" i="23" l="1"/>
  <c r="F102" i="23"/>
  <c r="E50" i="23"/>
  <c r="E59" i="23"/>
  <c r="B85" i="23"/>
  <c r="I73" i="23"/>
  <c r="G130" i="23"/>
  <c r="F49" i="23"/>
  <c r="J48" i="23"/>
  <c r="C82" i="23"/>
  <c r="C56" i="23"/>
  <c r="C69" i="23" s="1"/>
  <c r="G74" i="23"/>
  <c r="G47" i="23"/>
  <c r="H58" i="23"/>
  <c r="G52" i="23"/>
  <c r="J133" i="23"/>
  <c r="D53" i="23"/>
  <c r="E76" i="23"/>
  <c r="F67" i="23"/>
  <c r="G67" i="23" s="1"/>
  <c r="F101" i="23" l="1"/>
  <c r="F50" i="23" s="1"/>
  <c r="F59" i="23" s="1"/>
  <c r="G102" i="23"/>
  <c r="K48" i="23"/>
  <c r="H130" i="23"/>
  <c r="G49" i="23"/>
  <c r="E80" i="23"/>
  <c r="K133" i="23"/>
  <c r="K134" i="23" s="1"/>
  <c r="H74" i="23"/>
  <c r="I58" i="23"/>
  <c r="H52" i="23"/>
  <c r="H47" i="23"/>
  <c r="J134" i="23"/>
  <c r="H67" i="23"/>
  <c r="G76" i="23"/>
  <c r="D55" i="23"/>
  <c r="C77" i="23"/>
  <c r="G101" i="23" l="1"/>
  <c r="H102" i="23"/>
  <c r="K73" i="23"/>
  <c r="C85" i="23"/>
  <c r="J73" i="23"/>
  <c r="I130" i="23"/>
  <c r="H49" i="23"/>
  <c r="L48" i="23"/>
  <c r="F80" i="23"/>
  <c r="G50" i="23"/>
  <c r="G59" i="23" s="1"/>
  <c r="H76" i="23"/>
  <c r="I67" i="23"/>
  <c r="D82" i="23"/>
  <c r="D56" i="23"/>
  <c r="D69" i="23" s="1"/>
  <c r="E53" i="23"/>
  <c r="I74" i="23"/>
  <c r="I52" i="23"/>
  <c r="J58" i="23"/>
  <c r="I47" i="23"/>
  <c r="L133" i="23"/>
  <c r="L134" i="23" s="1"/>
  <c r="H101" i="23" l="1"/>
  <c r="I102" i="23"/>
  <c r="H50" i="23"/>
  <c r="H59" i="23" s="1"/>
  <c r="E85" i="23"/>
  <c r="L73" i="23"/>
  <c r="M48" i="23"/>
  <c r="J130" i="23"/>
  <c r="I49" i="23"/>
  <c r="G80" i="23"/>
  <c r="E55" i="23"/>
  <c r="F53" i="23" s="1"/>
  <c r="D77" i="23"/>
  <c r="I76" i="23"/>
  <c r="J67" i="23"/>
  <c r="J74" i="23"/>
  <c r="K58" i="23"/>
  <c r="J52" i="23"/>
  <c r="J47" i="23"/>
  <c r="M133" i="23"/>
  <c r="M134" i="23" s="1"/>
  <c r="I101" i="23" l="1"/>
  <c r="J102" i="23"/>
  <c r="I50" i="23"/>
  <c r="I59" i="23" s="1"/>
  <c r="F85" i="23"/>
  <c r="M73" i="23"/>
  <c r="K130" i="23"/>
  <c r="J49" i="23"/>
  <c r="N48" i="23"/>
  <c r="H80" i="23"/>
  <c r="K74" i="23"/>
  <c r="L58" i="23"/>
  <c r="K52" i="23"/>
  <c r="K47" i="23"/>
  <c r="K67" i="23"/>
  <c r="J76" i="23"/>
  <c r="F55" i="23"/>
  <c r="G53" i="23" s="1"/>
  <c r="N133" i="23"/>
  <c r="E82" i="23"/>
  <c r="E56" i="23"/>
  <c r="E69" i="23" s="1"/>
  <c r="F43" i="24"/>
  <c r="F42" i="24"/>
  <c r="F40" i="24"/>
  <c r="J101" i="23" l="1"/>
  <c r="K102" i="23"/>
  <c r="J50" i="23"/>
  <c r="J59" i="23" s="1"/>
  <c r="O48" i="23"/>
  <c r="L130" i="23"/>
  <c r="K49" i="23"/>
  <c r="I80" i="23"/>
  <c r="E77" i="23"/>
  <c r="O133" i="23"/>
  <c r="F82" i="23"/>
  <c r="F56" i="23"/>
  <c r="F69" i="23" s="1"/>
  <c r="M58" i="23"/>
  <c r="L52" i="23"/>
  <c r="L47" i="23"/>
  <c r="L74" i="23"/>
  <c r="N134" i="23"/>
  <c r="G55" i="23"/>
  <c r="L67" i="23"/>
  <c r="K76" i="23"/>
  <c r="K101" i="23" l="1"/>
  <c r="L102" i="23"/>
  <c r="L101" i="23" s="1"/>
  <c r="G85" i="23"/>
  <c r="N73" i="23"/>
  <c r="M130" i="23"/>
  <c r="L49" i="23"/>
  <c r="P48" i="23"/>
  <c r="J80" i="23"/>
  <c r="K50" i="23"/>
  <c r="K59" i="23" s="1"/>
  <c r="P133" i="23"/>
  <c r="P134" i="23" s="1"/>
  <c r="G82" i="23"/>
  <c r="G56" i="23"/>
  <c r="G69" i="23" s="1"/>
  <c r="M74" i="23"/>
  <c r="M52" i="23"/>
  <c r="N58" i="23"/>
  <c r="M47" i="23"/>
  <c r="O134" i="23"/>
  <c r="L76" i="23"/>
  <c r="M67" i="23"/>
  <c r="H53" i="23"/>
  <c r="F77" i="23"/>
  <c r="L50" i="23" l="1"/>
  <c r="L59" i="23" s="1"/>
  <c r="M102" i="23"/>
  <c r="M101" i="23" s="1"/>
  <c r="H85" i="23"/>
  <c r="O73" i="23"/>
  <c r="I85" i="23"/>
  <c r="P73" i="23"/>
  <c r="Q48" i="23"/>
  <c r="N130" i="23"/>
  <c r="M49" i="23"/>
  <c r="K80" i="23"/>
  <c r="H55" i="23"/>
  <c r="I53" i="23" s="1"/>
  <c r="M76" i="23"/>
  <c r="N67" i="23"/>
  <c r="N74" i="23"/>
  <c r="O58" i="23"/>
  <c r="N52" i="23"/>
  <c r="N47" i="23"/>
  <c r="G77" i="23"/>
  <c r="Q133" i="23"/>
  <c r="N102" i="23" l="1"/>
  <c r="N101" i="23" s="1"/>
  <c r="N49" i="23"/>
  <c r="O130" i="23"/>
  <c r="R48" i="23"/>
  <c r="L80" i="23"/>
  <c r="M50" i="23"/>
  <c r="M59" i="23" s="1"/>
  <c r="R133" i="23"/>
  <c r="R134" i="23" s="1"/>
  <c r="N76" i="23"/>
  <c r="O67" i="23"/>
  <c r="I55" i="23"/>
  <c r="O74" i="23"/>
  <c r="O47" i="23"/>
  <c r="P58" i="23"/>
  <c r="O52" i="23"/>
  <c r="Q134" i="23"/>
  <c r="H82" i="23"/>
  <c r="H56" i="23"/>
  <c r="H69" i="23" s="1"/>
  <c r="N50" i="23" l="1"/>
  <c r="N59" i="23" s="1"/>
  <c r="O102" i="23"/>
  <c r="O101" i="23" s="1"/>
  <c r="K85" i="23"/>
  <c r="R73" i="23"/>
  <c r="S48" i="23"/>
  <c r="O49" i="23"/>
  <c r="P130" i="23"/>
  <c r="J85" i="23"/>
  <c r="Q73" i="23"/>
  <c r="M80" i="23"/>
  <c r="P74" i="23"/>
  <c r="Q58" i="23"/>
  <c r="P52" i="23"/>
  <c r="P47" i="23"/>
  <c r="I82" i="23"/>
  <c r="I56" i="23"/>
  <c r="I69" i="23" s="1"/>
  <c r="P67" i="23"/>
  <c r="O76" i="23"/>
  <c r="H77" i="23"/>
  <c r="J53" i="23"/>
  <c r="S133" i="23"/>
  <c r="S134" i="23" s="1"/>
  <c r="F36" i="24"/>
  <c r="F34" i="24"/>
  <c r="F33" i="24"/>
  <c r="P102" i="23" l="1"/>
  <c r="P101" i="23" s="1"/>
  <c r="L85" i="23"/>
  <c r="S73" i="23"/>
  <c r="P49" i="23"/>
  <c r="Q130" i="23"/>
  <c r="T48" i="23"/>
  <c r="N80" i="23"/>
  <c r="O50" i="23"/>
  <c r="O59" i="23" s="1"/>
  <c r="J55" i="23"/>
  <c r="Q74" i="23"/>
  <c r="R58" i="23"/>
  <c r="Q52" i="23"/>
  <c r="Q47" i="23"/>
  <c r="I77" i="23"/>
  <c r="T133" i="23"/>
  <c r="T134" i="23" s="1"/>
  <c r="P76" i="23"/>
  <c r="Q67" i="23"/>
  <c r="Q29" i="14"/>
  <c r="P50" i="23" l="1"/>
  <c r="P59" i="23" s="1"/>
  <c r="Q102" i="23"/>
  <c r="Q101" i="23" s="1"/>
  <c r="M85" i="23"/>
  <c r="T73" i="23"/>
  <c r="Q49" i="23"/>
  <c r="R130" i="23"/>
  <c r="U48" i="23"/>
  <c r="O80" i="23"/>
  <c r="J82" i="23"/>
  <c r="J56" i="23"/>
  <c r="J69" i="23" s="1"/>
  <c r="R74" i="23"/>
  <c r="S58" i="23"/>
  <c r="R52" i="23"/>
  <c r="R47" i="23"/>
  <c r="Q76" i="23"/>
  <c r="R67" i="23"/>
  <c r="U133" i="23"/>
  <c r="U134" i="23" s="1"/>
  <c r="K53" i="23"/>
  <c r="B108" i="25"/>
  <c r="B96" i="25"/>
  <c r="B106" i="25"/>
  <c r="R102" i="23" l="1"/>
  <c r="R101" i="23" s="1"/>
  <c r="N85" i="23"/>
  <c r="U73" i="23"/>
  <c r="R49" i="23"/>
  <c r="S130" i="23"/>
  <c r="V48" i="23"/>
  <c r="P80" i="23"/>
  <c r="Q50" i="23"/>
  <c r="Q59" i="23" s="1"/>
  <c r="R76" i="23"/>
  <c r="S67" i="23"/>
  <c r="K55" i="23"/>
  <c r="L53" i="23" s="1"/>
  <c r="S74" i="23"/>
  <c r="T58" i="23"/>
  <c r="S52" i="23"/>
  <c r="S47" i="23"/>
  <c r="J77" i="23"/>
  <c r="V133" i="23"/>
  <c r="S102" i="23" l="1"/>
  <c r="S101" i="23" s="1"/>
  <c r="S49" i="23"/>
  <c r="T130" i="23"/>
  <c r="W48" i="23"/>
  <c r="R50" i="23"/>
  <c r="R59" i="23" s="1"/>
  <c r="Q80" i="23"/>
  <c r="W133" i="23"/>
  <c r="W134" i="23" s="1"/>
  <c r="L55" i="23"/>
  <c r="S76" i="23"/>
  <c r="T67" i="23"/>
  <c r="V134" i="23"/>
  <c r="T74" i="23"/>
  <c r="U58" i="23"/>
  <c r="T52" i="23"/>
  <c r="T47" i="23"/>
  <c r="K82" i="23"/>
  <c r="K56" i="23"/>
  <c r="K69" i="23" s="1"/>
  <c r="T102" i="23" l="1"/>
  <c r="T101" i="23" s="1"/>
  <c r="P85" i="23"/>
  <c r="W73" i="23"/>
  <c r="O85" i="23"/>
  <c r="V73" i="23"/>
  <c r="T49" i="23"/>
  <c r="U130" i="23"/>
  <c r="X48" i="23"/>
  <c r="R80" i="23"/>
  <c r="S50" i="23"/>
  <c r="S59" i="23" s="1"/>
  <c r="L82" i="23"/>
  <c r="L56" i="23"/>
  <c r="L69" i="23" s="1"/>
  <c r="M53" i="23"/>
  <c r="K77" i="23"/>
  <c r="U74" i="23"/>
  <c r="U52" i="23"/>
  <c r="V58" i="23"/>
  <c r="U47" i="23"/>
  <c r="T76" i="23"/>
  <c r="U67" i="23"/>
  <c r="X133" i="23"/>
  <c r="X134" i="23" s="1"/>
  <c r="H23" i="12"/>
  <c r="C40" i="7" s="1"/>
  <c r="J23" i="12"/>
  <c r="T50" i="23" l="1"/>
  <c r="T59" i="23" s="1"/>
  <c r="U102" i="23"/>
  <c r="U101" i="23" s="1"/>
  <c r="Q85" i="23"/>
  <c r="X73" i="23"/>
  <c r="U49" i="23"/>
  <c r="V130" i="23"/>
  <c r="Y48" i="23"/>
  <c r="S80" i="23"/>
  <c r="L77" i="23"/>
  <c r="U76" i="23"/>
  <c r="V67" i="23"/>
  <c r="Y133" i="23"/>
  <c r="Y134" i="23" s="1"/>
  <c r="V74" i="23"/>
  <c r="W58" i="23"/>
  <c r="V52" i="23"/>
  <c r="V47" i="23"/>
  <c r="M55" i="23"/>
  <c r="N53" i="23" s="1"/>
  <c r="C23" i="6"/>
  <c r="V102" i="23" l="1"/>
  <c r="V101" i="23" s="1"/>
  <c r="U50" i="23"/>
  <c r="U59" i="23" s="1"/>
  <c r="R85" i="23"/>
  <c r="Y73" i="23"/>
  <c r="V49" i="23"/>
  <c r="W130" i="23"/>
  <c r="Z48" i="23"/>
  <c r="T80" i="23"/>
  <c r="N55" i="23"/>
  <c r="O53" i="23" s="1"/>
  <c r="Z133" i="23"/>
  <c r="Z134" i="23" s="1"/>
  <c r="W74" i="23"/>
  <c r="W47" i="23"/>
  <c r="X58" i="23"/>
  <c r="W52" i="23"/>
  <c r="M82" i="23"/>
  <c r="M56" i="23"/>
  <c r="M69" i="23" s="1"/>
  <c r="W67" i="23"/>
  <c r="V76" i="23"/>
  <c r="W102" i="23" l="1"/>
  <c r="W101" i="23" s="1"/>
  <c r="S85" i="23"/>
  <c r="Z73" i="23"/>
  <c r="W49" i="23"/>
  <c r="X130" i="23"/>
  <c r="AA48" i="23"/>
  <c r="V50" i="23"/>
  <c r="V59" i="23" s="1"/>
  <c r="U80" i="23"/>
  <c r="X67" i="23"/>
  <c r="W76" i="23"/>
  <c r="M77" i="23"/>
  <c r="X74" i="23"/>
  <c r="Y58" i="23"/>
  <c r="X52" i="23"/>
  <c r="X47" i="23"/>
  <c r="O55" i="23"/>
  <c r="P53" i="23" s="1"/>
  <c r="AA133" i="23"/>
  <c r="N82" i="23"/>
  <c r="N56" i="23"/>
  <c r="N69" i="23" s="1"/>
  <c r="F28" i="24"/>
  <c r="F27" i="24"/>
  <c r="F30" i="24"/>
  <c r="F29" i="24"/>
  <c r="X102" i="23" l="1"/>
  <c r="X101" i="23" s="1"/>
  <c r="X49" i="23"/>
  <c r="Y130" i="23"/>
  <c r="AB48" i="23"/>
  <c r="W50" i="23"/>
  <c r="W59" i="23" s="1"/>
  <c r="V80" i="23"/>
  <c r="P55" i="23"/>
  <c r="Q53" i="23" s="1"/>
  <c r="X76" i="23"/>
  <c r="Y67" i="23"/>
  <c r="Y74" i="23"/>
  <c r="Z58" i="23"/>
  <c r="Y52" i="23"/>
  <c r="Y47" i="23"/>
  <c r="N77" i="23"/>
  <c r="O82" i="23"/>
  <c r="O56" i="23"/>
  <c r="O69" i="23" s="1"/>
  <c r="AB133" i="23"/>
  <c r="AB134" i="23" s="1"/>
  <c r="AA134" i="23"/>
  <c r="B49" i="25"/>
  <c r="B66" i="25"/>
  <c r="B32" i="25"/>
  <c r="AD34" i="5"/>
  <c r="B29" i="25" s="1"/>
  <c r="B22" i="25"/>
  <c r="A15" i="5"/>
  <c r="A12" i="5"/>
  <c r="A9" i="5"/>
  <c r="A5" i="5"/>
  <c r="X50" i="23" l="1"/>
  <c r="X59" i="23" s="1"/>
  <c r="Y102" i="23"/>
  <c r="Y101" i="23" s="1"/>
  <c r="U85" i="23"/>
  <c r="AB73" i="23"/>
  <c r="Y49" i="23"/>
  <c r="Z130" i="23"/>
  <c r="T85" i="23"/>
  <c r="AA73" i="23"/>
  <c r="AC48" i="23"/>
  <c r="W80" i="23"/>
  <c r="Q55" i="23"/>
  <c r="R53" i="23" s="1"/>
  <c r="Y76" i="23"/>
  <c r="Z67" i="23"/>
  <c r="AC133" i="23"/>
  <c r="AC134" i="23" s="1"/>
  <c r="Z74" i="23"/>
  <c r="AA58" i="23"/>
  <c r="Z52" i="23"/>
  <c r="Z47" i="23"/>
  <c r="P56" i="23"/>
  <c r="P69" i="23" s="1"/>
  <c r="P82" i="23"/>
  <c r="O77" i="23"/>
  <c r="B30" i="25"/>
  <c r="Z102" i="23" l="1"/>
  <c r="Z101" i="23" s="1"/>
  <c r="V85" i="23"/>
  <c r="AC73" i="23"/>
  <c r="Z49" i="23"/>
  <c r="AA130" i="23"/>
  <c r="AD48" i="23"/>
  <c r="B38" i="25"/>
  <c r="B94" i="25"/>
  <c r="B95" i="25"/>
  <c r="B76" i="25"/>
  <c r="B102" i="25"/>
  <c r="B72" i="25"/>
  <c r="B68" i="25"/>
  <c r="B59" i="23"/>
  <c r="X80" i="23"/>
  <c r="Y50" i="23"/>
  <c r="Y59" i="23" s="1"/>
  <c r="P77" i="23"/>
  <c r="AA74" i="23"/>
  <c r="AA47" i="23"/>
  <c r="AB58" i="23"/>
  <c r="AA52" i="23"/>
  <c r="Q82" i="23"/>
  <c r="Q56" i="23"/>
  <c r="Q69" i="23" s="1"/>
  <c r="AD133" i="23"/>
  <c r="AA67" i="23"/>
  <c r="Z76" i="23"/>
  <c r="R55" i="23"/>
  <c r="A14" i="15"/>
  <c r="A11" i="15"/>
  <c r="A8" i="15"/>
  <c r="A4" i="15"/>
  <c r="AA102" i="23" l="1"/>
  <c r="AA101" i="23" s="1"/>
  <c r="AA49" i="23"/>
  <c r="AA60" i="23" s="1"/>
  <c r="AB130" i="23"/>
  <c r="B79" i="23"/>
  <c r="AE48" i="23"/>
  <c r="C61" i="23"/>
  <c r="D61" i="23"/>
  <c r="D60" i="23" s="1"/>
  <c r="D66" i="23" s="1"/>
  <c r="D68" i="23" s="1"/>
  <c r="E61" i="23"/>
  <c r="E60" i="23" s="1"/>
  <c r="E66" i="23" s="1"/>
  <c r="E68" i="23" s="1"/>
  <c r="F61" i="23"/>
  <c r="F60" i="23" s="1"/>
  <c r="F66" i="23" s="1"/>
  <c r="F68" i="23" s="1"/>
  <c r="G61" i="23"/>
  <c r="G60" i="23" s="1"/>
  <c r="G66" i="23" s="1"/>
  <c r="G68" i="23" s="1"/>
  <c r="H61" i="23"/>
  <c r="H60" i="23" s="1"/>
  <c r="H66" i="23" s="1"/>
  <c r="H68" i="23" s="1"/>
  <c r="I60" i="23"/>
  <c r="I66" i="23" s="1"/>
  <c r="I68" i="23" s="1"/>
  <c r="J60" i="23"/>
  <c r="J66" i="23" s="1"/>
  <c r="J68" i="23" s="1"/>
  <c r="K60" i="23"/>
  <c r="K66" i="23" s="1"/>
  <c r="K68" i="23" s="1"/>
  <c r="L60" i="23"/>
  <c r="L66" i="23" s="1"/>
  <c r="L68" i="23" s="1"/>
  <c r="M60" i="23"/>
  <c r="M66" i="23" s="1"/>
  <c r="M68" i="23" s="1"/>
  <c r="N61" i="23"/>
  <c r="N60" i="23" s="1"/>
  <c r="N66" i="23" s="1"/>
  <c r="N68" i="23" s="1"/>
  <c r="O60" i="23"/>
  <c r="O66" i="23" s="1"/>
  <c r="O68" i="23" s="1"/>
  <c r="P60" i="23"/>
  <c r="P66" i="23" s="1"/>
  <c r="P68" i="23" s="1"/>
  <c r="Q60" i="23"/>
  <c r="Q66" i="23" s="1"/>
  <c r="Q68" i="23" s="1"/>
  <c r="Q75" i="23" s="1"/>
  <c r="R60" i="23"/>
  <c r="R66" i="23" s="1"/>
  <c r="R68" i="23" s="1"/>
  <c r="R75" i="23" s="1"/>
  <c r="S60" i="23"/>
  <c r="S66" i="23" s="1"/>
  <c r="S68" i="23" s="1"/>
  <c r="S75" i="23" s="1"/>
  <c r="T61" i="23"/>
  <c r="T60" i="23" s="1"/>
  <c r="T66" i="23" s="1"/>
  <c r="T68" i="23" s="1"/>
  <c r="T75" i="23" s="1"/>
  <c r="U60" i="23"/>
  <c r="U66" i="23" s="1"/>
  <c r="U68" i="23" s="1"/>
  <c r="U75" i="23" s="1"/>
  <c r="V60" i="23"/>
  <c r="V66" i="23" s="1"/>
  <c r="V68" i="23" s="1"/>
  <c r="V75" i="23" s="1"/>
  <c r="W60" i="23"/>
  <c r="W66" i="23" s="1"/>
  <c r="W68" i="23" s="1"/>
  <c r="W75" i="23" s="1"/>
  <c r="X60" i="23"/>
  <c r="X66" i="23" s="1"/>
  <c r="X68" i="23" s="1"/>
  <c r="X75" i="23" s="1"/>
  <c r="Y60" i="23"/>
  <c r="Y66" i="23" s="1"/>
  <c r="Y68" i="23" s="1"/>
  <c r="Y75" i="23" s="1"/>
  <c r="Z61" i="23"/>
  <c r="Z60" i="23" s="1"/>
  <c r="B66" i="23"/>
  <c r="B68" i="23" s="1"/>
  <c r="B80" i="23"/>
  <c r="C80" i="23"/>
  <c r="Z50" i="23"/>
  <c r="Z59" i="23" s="1"/>
  <c r="Y80" i="23"/>
  <c r="R82" i="23"/>
  <c r="R56" i="23"/>
  <c r="R69" i="23" s="1"/>
  <c r="AE133" i="23"/>
  <c r="AD134" i="23"/>
  <c r="AC58" i="23"/>
  <c r="AB52" i="23"/>
  <c r="AB47" i="23"/>
  <c r="AB74" i="23"/>
  <c r="S53" i="23"/>
  <c r="AB67" i="23"/>
  <c r="AA76" i="23"/>
  <c r="Q77" i="23"/>
  <c r="B91" i="25"/>
  <c r="B84" i="25"/>
  <c r="B42" i="25"/>
  <c r="B63" i="25"/>
  <c r="B88" i="25"/>
  <c r="B55" i="25"/>
  <c r="B34" i="25"/>
  <c r="B93" i="25" s="1"/>
  <c r="B46" i="25"/>
  <c r="B80" i="25"/>
  <c r="B51" i="25"/>
  <c r="B59" i="25"/>
  <c r="AB102" i="23" l="1"/>
  <c r="AB101" i="23" s="1"/>
  <c r="AB49" i="23"/>
  <c r="AC130" i="23"/>
  <c r="W85" i="23"/>
  <c r="AD73" i="23"/>
  <c r="AF48" i="23"/>
  <c r="C79" i="23"/>
  <c r="D79" i="23" s="1"/>
  <c r="E79" i="23" s="1"/>
  <c r="Q70" i="23"/>
  <c r="Q71" i="23" s="1"/>
  <c r="H75" i="23"/>
  <c r="H70" i="23"/>
  <c r="O75" i="23"/>
  <c r="O70" i="23"/>
  <c r="K75" i="23"/>
  <c r="K70" i="23"/>
  <c r="G75" i="23"/>
  <c r="G70" i="23"/>
  <c r="G71" i="23" s="1"/>
  <c r="G72" i="23" s="1"/>
  <c r="C60" i="23"/>
  <c r="C66" i="23" s="1"/>
  <c r="C68" i="23" s="1"/>
  <c r="B75" i="23"/>
  <c r="B70" i="23"/>
  <c r="B71" i="23" s="1"/>
  <c r="P75" i="23"/>
  <c r="P70" i="23"/>
  <c r="D75" i="23"/>
  <c r="D70" i="23"/>
  <c r="N75" i="23"/>
  <c r="N70" i="23"/>
  <c r="J75" i="23"/>
  <c r="J70" i="23"/>
  <c r="F75" i="23"/>
  <c r="F70" i="23"/>
  <c r="L75" i="23"/>
  <c r="L70" i="23"/>
  <c r="M75" i="23"/>
  <c r="M70" i="23"/>
  <c r="I75" i="23"/>
  <c r="I70" i="23"/>
  <c r="E75" i="23"/>
  <c r="E70" i="23"/>
  <c r="E71" i="23" s="1"/>
  <c r="E72" i="23" s="1"/>
  <c r="AA50" i="23"/>
  <c r="AA59" i="23" s="1"/>
  <c r="Z80" i="23"/>
  <c r="Z66" i="23"/>
  <c r="Z68" i="23" s="1"/>
  <c r="Z75" i="23" s="1"/>
  <c r="AC74" i="23"/>
  <c r="AD58" i="23"/>
  <c r="AC52" i="23"/>
  <c r="AC47" i="23"/>
  <c r="AF133" i="23"/>
  <c r="AF134" i="23" s="1"/>
  <c r="AE134" i="23"/>
  <c r="AB76" i="23"/>
  <c r="AC67" i="23"/>
  <c r="S55" i="23"/>
  <c r="R77" i="23"/>
  <c r="R70" i="23"/>
  <c r="F79" i="23" l="1"/>
  <c r="AC102" i="23"/>
  <c r="AC101" i="23" s="1"/>
  <c r="Y85" i="23"/>
  <c r="AF73" i="23"/>
  <c r="AB60" i="23"/>
  <c r="X85" i="23"/>
  <c r="AE73" i="23"/>
  <c r="AC49" i="23"/>
  <c r="AC60" i="23" s="1"/>
  <c r="AD130" i="23"/>
  <c r="F71" i="23"/>
  <c r="F72" i="23" s="1"/>
  <c r="N71" i="23"/>
  <c r="P71" i="23"/>
  <c r="I71" i="23"/>
  <c r="I72" i="23" s="1"/>
  <c r="L71" i="23"/>
  <c r="J71" i="23"/>
  <c r="J72" i="23" s="1"/>
  <c r="K71" i="23"/>
  <c r="K72" i="23" s="1"/>
  <c r="H71" i="23"/>
  <c r="O71" i="23"/>
  <c r="O72" i="23" s="1"/>
  <c r="M71" i="23"/>
  <c r="M72" i="23" s="1"/>
  <c r="D71" i="23"/>
  <c r="D72" i="23" s="1"/>
  <c r="B72" i="23"/>
  <c r="B78" i="23"/>
  <c r="B83" i="23" s="1"/>
  <c r="C75" i="23"/>
  <c r="C70" i="23"/>
  <c r="C71" i="23" s="1"/>
  <c r="C72" i="23" s="1"/>
  <c r="AA66" i="23"/>
  <c r="AA68" i="23" s="1"/>
  <c r="AA75" i="23" s="1"/>
  <c r="AA80" i="23"/>
  <c r="AB50" i="23"/>
  <c r="AB59" i="23" s="1"/>
  <c r="S82" i="23"/>
  <c r="S56" i="23"/>
  <c r="S69" i="23" s="1"/>
  <c r="T53" i="23"/>
  <c r="AD74" i="23"/>
  <c r="AE58" i="23"/>
  <c r="AD52" i="23"/>
  <c r="AD47" i="23"/>
  <c r="R71" i="23"/>
  <c r="Q72" i="23"/>
  <c r="AC76" i="23"/>
  <c r="AD67" i="23"/>
  <c r="AD102" i="23" l="1"/>
  <c r="AD101" i="23" s="1"/>
  <c r="G79" i="23"/>
  <c r="H79" i="23" s="1"/>
  <c r="I79" i="23" s="1"/>
  <c r="Z85" i="23"/>
  <c r="AD49" i="23"/>
  <c r="AE130" i="23"/>
  <c r="C78" i="23"/>
  <c r="C83" i="23" s="1"/>
  <c r="C84" i="23" s="1"/>
  <c r="B84" i="23"/>
  <c r="B89" i="23" s="1"/>
  <c r="B86" i="23"/>
  <c r="B88" i="23"/>
  <c r="H72" i="23"/>
  <c r="L72" i="23"/>
  <c r="P72" i="23"/>
  <c r="N72" i="23"/>
  <c r="AB80" i="23"/>
  <c r="AB66" i="23"/>
  <c r="AB68" i="23" s="1"/>
  <c r="AB75" i="23" s="1"/>
  <c r="AC50" i="23"/>
  <c r="AC59" i="23" s="1"/>
  <c r="AD76" i="23"/>
  <c r="AE67" i="23"/>
  <c r="S77" i="23"/>
  <c r="S70" i="23"/>
  <c r="T55" i="23"/>
  <c r="R72" i="23"/>
  <c r="AE74" i="23"/>
  <c r="AF58" i="23"/>
  <c r="AE52" i="23"/>
  <c r="AE47" i="23"/>
  <c r="S29" i="14"/>
  <c r="B24" i="25" s="1"/>
  <c r="C88" i="23" l="1"/>
  <c r="AE102" i="23"/>
  <c r="AE101" i="23" s="1"/>
  <c r="AD60" i="23"/>
  <c r="AA85" i="23"/>
  <c r="AE49" i="23"/>
  <c r="AE60" i="23" s="1"/>
  <c r="AF130" i="23"/>
  <c r="C89" i="23"/>
  <c r="D78" i="23"/>
  <c r="D83" i="23" s="1"/>
  <c r="B87" i="23"/>
  <c r="B90" i="23" s="1"/>
  <c r="C86" i="23"/>
  <c r="C87" i="23" s="1"/>
  <c r="AC80" i="23"/>
  <c r="AC66" i="23"/>
  <c r="AC68" i="23" s="1"/>
  <c r="AC75" i="23" s="1"/>
  <c r="AD50" i="23"/>
  <c r="AD59" i="23" s="1"/>
  <c r="T82" i="23"/>
  <c r="T56" i="23"/>
  <c r="T69" i="23" s="1"/>
  <c r="AF74" i="23"/>
  <c r="AF52" i="23"/>
  <c r="AF47" i="23"/>
  <c r="AF67" i="23"/>
  <c r="AE76" i="23"/>
  <c r="U53" i="23"/>
  <c r="S71" i="23"/>
  <c r="S72" i="23" s="1"/>
  <c r="S23" i="12"/>
  <c r="AF102" i="23" l="1"/>
  <c r="AF101" i="23" s="1"/>
  <c r="J79" i="23"/>
  <c r="AF49" i="23"/>
  <c r="AF61" i="23" s="1"/>
  <c r="AF60" i="23" s="1"/>
  <c r="E78" i="23"/>
  <c r="F78" i="23" s="1"/>
  <c r="G78" i="23" s="1"/>
  <c r="G83" i="23" s="1"/>
  <c r="G86" i="23" s="1"/>
  <c r="D86" i="23"/>
  <c r="D87" i="23" s="1"/>
  <c r="D90" i="23" s="1"/>
  <c r="D84" i="23"/>
  <c r="D89" i="23" s="1"/>
  <c r="D88" i="23"/>
  <c r="C90" i="23"/>
  <c r="AD80" i="23"/>
  <c r="AD66" i="23"/>
  <c r="AD68" i="23" s="1"/>
  <c r="AD75" i="23" s="1"/>
  <c r="AE50" i="23"/>
  <c r="AE59" i="23" s="1"/>
  <c r="AF76" i="23"/>
  <c r="U55" i="23"/>
  <c r="T77" i="23"/>
  <c r="T70" i="23"/>
  <c r="A15" i="25"/>
  <c r="K79" i="23" l="1"/>
  <c r="AC85" i="23"/>
  <c r="AB85" i="23"/>
  <c r="E83" i="23"/>
  <c r="E86" i="23" s="1"/>
  <c r="F83" i="23"/>
  <c r="H78" i="23"/>
  <c r="H83" i="23" s="1"/>
  <c r="H86" i="23" s="1"/>
  <c r="AE80" i="23"/>
  <c r="AE66" i="23"/>
  <c r="AE68" i="23" s="1"/>
  <c r="AE75" i="23" s="1"/>
  <c r="AF50" i="23"/>
  <c r="AF59" i="23" s="1"/>
  <c r="U82" i="23"/>
  <c r="U56" i="23"/>
  <c r="U69" i="23" s="1"/>
  <c r="T71" i="23"/>
  <c r="V53" i="23"/>
  <c r="L79" i="23" l="1"/>
  <c r="M79" i="23" s="1"/>
  <c r="N79" i="23" s="1"/>
  <c r="O79" i="23" s="1"/>
  <c r="AD85" i="23"/>
  <c r="F88" i="23"/>
  <c r="E84" i="23"/>
  <c r="E89" i="23" s="1"/>
  <c r="E88" i="23"/>
  <c r="G84" i="23"/>
  <c r="G88" i="23"/>
  <c r="F84" i="23"/>
  <c r="F89" i="23" s="1"/>
  <c r="F86" i="23"/>
  <c r="F87" i="23" s="1"/>
  <c r="I78" i="23"/>
  <c r="J78" i="23" s="1"/>
  <c r="H88" i="23"/>
  <c r="E87" i="23"/>
  <c r="E90" i="23" s="1"/>
  <c r="T72" i="23"/>
  <c r="H84" i="23"/>
  <c r="AF66" i="23"/>
  <c r="AF68" i="23" s="1"/>
  <c r="AF75" i="23" s="1"/>
  <c r="AF80" i="23"/>
  <c r="U77" i="23"/>
  <c r="U70" i="23"/>
  <c r="V55" i="23"/>
  <c r="W53" i="23" s="1"/>
  <c r="B21" i="25"/>
  <c r="A12" i="25"/>
  <c r="A9" i="25"/>
  <c r="B107" i="25"/>
  <c r="B105" i="25"/>
  <c r="P79" i="23" l="1"/>
  <c r="Q79" i="23" s="1"/>
  <c r="R79" i="23" s="1"/>
  <c r="S79" i="23" s="1"/>
  <c r="T79" i="23" s="1"/>
  <c r="U79" i="23" s="1"/>
  <c r="V79" i="23" s="1"/>
  <c r="W79" i="23" s="1"/>
  <c r="X79" i="23" s="1"/>
  <c r="Y79" i="23" s="1"/>
  <c r="Z79" i="23" s="1"/>
  <c r="AA79" i="23" s="1"/>
  <c r="AB79" i="23" s="1"/>
  <c r="AC79" i="23" s="1"/>
  <c r="H89" i="23"/>
  <c r="G87" i="23"/>
  <c r="G90" i="23" s="1"/>
  <c r="G89" i="23"/>
  <c r="F90" i="23"/>
  <c r="H87" i="23"/>
  <c r="J83" i="23"/>
  <c r="J86" i="23" s="1"/>
  <c r="K78" i="23"/>
  <c r="L78" i="23" s="1"/>
  <c r="M78" i="23" s="1"/>
  <c r="I83" i="23"/>
  <c r="W55" i="23"/>
  <c r="X53" i="23" s="1"/>
  <c r="V82" i="23"/>
  <c r="V56" i="23"/>
  <c r="V69" i="23" s="1"/>
  <c r="U71" i="23"/>
  <c r="A14" i="12"/>
  <c r="A15" i="13" s="1"/>
  <c r="E15" i="14" s="1"/>
  <c r="A15" i="6" s="1"/>
  <c r="A14" i="17" s="1"/>
  <c r="A15" i="10" s="1"/>
  <c r="A15" i="24" s="1"/>
  <c r="AD79" i="23" l="1"/>
  <c r="AE79" i="23" s="1"/>
  <c r="AE85" i="23"/>
  <c r="H90" i="23"/>
  <c r="K83" i="23"/>
  <c r="K86" i="23" s="1"/>
  <c r="L83" i="23"/>
  <c r="L86" i="23" s="1"/>
  <c r="I86" i="23"/>
  <c r="J88" i="23"/>
  <c r="I88" i="23"/>
  <c r="I84" i="23"/>
  <c r="I89" i="23" s="1"/>
  <c r="J84" i="23"/>
  <c r="M83" i="23"/>
  <c r="M86" i="23" s="1"/>
  <c r="N78" i="23"/>
  <c r="N83" i="23" s="1"/>
  <c r="N86" i="23" s="1"/>
  <c r="X55" i="23"/>
  <c r="V77" i="23"/>
  <c r="V70" i="23"/>
  <c r="U72" i="23"/>
  <c r="W82" i="23"/>
  <c r="W56" i="23"/>
  <c r="W69" i="23" s="1"/>
  <c r="A11" i="12"/>
  <c r="A12" i="13" s="1"/>
  <c r="A8" i="12"/>
  <c r="A9" i="13" s="1"/>
  <c r="E9" i="14" s="1"/>
  <c r="A9" i="6" s="1"/>
  <c r="A8" i="17" s="1"/>
  <c r="A9" i="10" s="1"/>
  <c r="A9" i="24" s="1"/>
  <c r="A4" i="12"/>
  <c r="K87" i="23" l="1"/>
  <c r="AF79" i="23"/>
  <c r="AF85" i="23"/>
  <c r="K84" i="23"/>
  <c r="K89" i="23" s="1"/>
  <c r="J89" i="23"/>
  <c r="K88" i="23"/>
  <c r="N87" i="23"/>
  <c r="M87" i="23"/>
  <c r="L88" i="23"/>
  <c r="N88" i="23"/>
  <c r="L84" i="23"/>
  <c r="M88" i="23"/>
  <c r="M84" i="23"/>
  <c r="O78" i="23"/>
  <c r="N84" i="23"/>
  <c r="L87" i="23"/>
  <c r="G30" i="23" s="1"/>
  <c r="I87" i="23"/>
  <c r="I90" i="23" s="1"/>
  <c r="J87" i="23"/>
  <c r="X82" i="23"/>
  <c r="X56" i="23"/>
  <c r="X69" i="23" s="1"/>
  <c r="V71" i="23"/>
  <c r="W77" i="23"/>
  <c r="W70" i="23"/>
  <c r="Y53" i="23"/>
  <c r="A5" i="13"/>
  <c r="A5" i="14" s="1"/>
  <c r="A5" i="6" s="1"/>
  <c r="A4" i="17" s="1"/>
  <c r="A5" i="10" s="1"/>
  <c r="A5" i="24" s="1"/>
  <c r="A5" i="25"/>
  <c r="L89" i="23" l="1"/>
  <c r="G28" i="23" s="1"/>
  <c r="M89" i="23"/>
  <c r="N90" i="23"/>
  <c r="N89" i="23"/>
  <c r="J90" i="23"/>
  <c r="M90" i="23"/>
  <c r="O83" i="23"/>
  <c r="P78" i="23"/>
  <c r="K90" i="23"/>
  <c r="L90" i="23"/>
  <c r="W71" i="23"/>
  <c r="Y55" i="23"/>
  <c r="Z53" i="23" s="1"/>
  <c r="X77" i="23"/>
  <c r="X70" i="23"/>
  <c r="V72" i="23"/>
  <c r="E12" i="14"/>
  <c r="A12" i="6" s="1"/>
  <c r="A11" i="17" s="1"/>
  <c r="A12" i="10" s="1"/>
  <c r="A12" i="24" s="1"/>
  <c r="G29" i="23" l="1"/>
  <c r="P83" i="23"/>
  <c r="P84" i="23" s="1"/>
  <c r="Q78" i="23"/>
  <c r="O86" i="23"/>
  <c r="O87" i="23" s="1"/>
  <c r="O90" i="23" s="1"/>
  <c r="O88" i="23"/>
  <c r="O84" i="23"/>
  <c r="O89" i="23" s="1"/>
  <c r="X71" i="23"/>
  <c r="X72" i="23" s="1"/>
  <c r="Z55" i="23"/>
  <c r="AA53" i="23" s="1"/>
  <c r="Y82" i="23"/>
  <c r="Y56" i="23"/>
  <c r="Y69" i="23" s="1"/>
  <c r="W72"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83" i="23" l="1"/>
  <c r="R78" i="23"/>
  <c r="P89" i="23"/>
  <c r="P86" i="23"/>
  <c r="P87" i="23" s="1"/>
  <c r="P90" i="23" s="1"/>
  <c r="P88" i="23"/>
  <c r="Y77" i="23"/>
  <c r="Y70" i="23"/>
  <c r="AA55" i="23"/>
  <c r="AB53" i="23" s="1"/>
  <c r="Z82" i="23"/>
  <c r="Z56" i="23"/>
  <c r="Z69" i="23" s="1"/>
  <c r="R83" i="23" l="1"/>
  <c r="S78" i="23"/>
  <c r="Q86" i="23"/>
  <c r="Q87" i="23" s="1"/>
  <c r="Q90" i="23" s="1"/>
  <c r="Q84" i="23"/>
  <c r="Q89" i="23" s="1"/>
  <c r="Q88" i="23"/>
  <c r="AB55" i="23"/>
  <c r="Z77" i="23"/>
  <c r="Z70" i="23"/>
  <c r="AA82" i="23"/>
  <c r="AA56" i="23"/>
  <c r="AA69" i="23" s="1"/>
  <c r="Y71" i="23"/>
  <c r="S83" i="23" l="1"/>
  <c r="T78" i="23"/>
  <c r="T83" i="23" s="1"/>
  <c r="T86" i="23" s="1"/>
  <c r="R86" i="23"/>
  <c r="R87" i="23" s="1"/>
  <c r="R90" i="23" s="1"/>
  <c r="R84" i="23"/>
  <c r="R89" i="23" s="1"/>
  <c r="R88" i="23"/>
  <c r="Y72" i="23"/>
  <c r="Z71" i="23"/>
  <c r="AB82" i="23"/>
  <c r="AB56" i="23"/>
  <c r="AB69" i="23" s="1"/>
  <c r="AA77" i="23"/>
  <c r="AA70" i="23"/>
  <c r="AC53" i="23"/>
  <c r="U78" i="23" l="1"/>
  <c r="U83" i="23" s="1"/>
  <c r="U86" i="23" s="1"/>
  <c r="S86" i="23"/>
  <c r="S87" i="23" s="1"/>
  <c r="S90" i="23" s="1"/>
  <c r="T88" i="23"/>
  <c r="S88" i="23"/>
  <c r="S84" i="23"/>
  <c r="S89" i="23" s="1"/>
  <c r="T84" i="23"/>
  <c r="AA71" i="23"/>
  <c r="AC55" i="23"/>
  <c r="AD53" i="23" s="1"/>
  <c r="AB77" i="23"/>
  <c r="AB70" i="23"/>
  <c r="Z72" i="23"/>
  <c r="V78" i="23" l="1"/>
  <c r="V83" i="23" s="1"/>
  <c r="T87" i="23"/>
  <c r="T90" i="23" s="1"/>
  <c r="U88" i="23"/>
  <c r="U84" i="23"/>
  <c r="U89" i="23" s="1"/>
  <c r="U87" i="23"/>
  <c r="T89" i="23"/>
  <c r="AA72" i="23"/>
  <c r="AB71" i="23"/>
  <c r="AD55" i="23"/>
  <c r="AE53" i="23" s="1"/>
  <c r="AC82" i="23"/>
  <c r="AC56" i="23"/>
  <c r="AC69" i="23" s="1"/>
  <c r="W78" i="23" l="1"/>
  <c r="W83" i="23" s="1"/>
  <c r="W86" i="23" s="1"/>
  <c r="U90" i="23"/>
  <c r="V86" i="23"/>
  <c r="V87" i="23" s="1"/>
  <c r="V90" i="23" s="1"/>
  <c r="V88" i="23"/>
  <c r="V84" i="23"/>
  <c r="V89" i="23" s="1"/>
  <c r="AC77" i="23"/>
  <c r="AC70" i="23"/>
  <c r="AB72" i="23"/>
  <c r="AE55" i="23"/>
  <c r="AD82" i="23"/>
  <c r="AD56" i="23"/>
  <c r="AD69" i="23" s="1"/>
  <c r="W84" i="23" l="1"/>
  <c r="W89" i="23" s="1"/>
  <c r="W88" i="23"/>
  <c r="X78" i="23"/>
  <c r="X83" i="23" s="1"/>
  <c r="X86" i="23" s="1"/>
  <c r="X87" i="23" s="1"/>
  <c r="W87" i="23"/>
  <c r="W90" i="23" s="1"/>
  <c r="AD77" i="23"/>
  <c r="AD70" i="23"/>
  <c r="AE82" i="23"/>
  <c r="AE56" i="23"/>
  <c r="AE69" i="23" s="1"/>
  <c r="AF53" i="23"/>
  <c r="AC71" i="23"/>
  <c r="X88" i="23" l="1"/>
  <c r="X84" i="23"/>
  <c r="X89" i="23" s="1"/>
  <c r="Y78" i="23"/>
  <c r="Y83" i="23" s="1"/>
  <c r="Y84" i="23" s="1"/>
  <c r="X90" i="23"/>
  <c r="AF55" i="23"/>
  <c r="AD71" i="23"/>
  <c r="AC72" i="23"/>
  <c r="AE77" i="23"/>
  <c r="AE70" i="23"/>
  <c r="Y89" i="23" l="1"/>
  <c r="Y88" i="23"/>
  <c r="Y86" i="23"/>
  <c r="Y87" i="23" s="1"/>
  <c r="Y90" i="23" s="1"/>
  <c r="Z78" i="23"/>
  <c r="Z83" i="23" s="1"/>
  <c r="Z86" i="23" s="1"/>
  <c r="AE71" i="23"/>
  <c r="AF82" i="23"/>
  <c r="AF56" i="23"/>
  <c r="AF69" i="23" s="1"/>
  <c r="AD72" i="23"/>
  <c r="Z84" i="23" l="1"/>
  <c r="Z89" i="23" s="1"/>
  <c r="AA78" i="23"/>
  <c r="AB78" i="23" s="1"/>
  <c r="Z87" i="23"/>
  <c r="Z90" i="23" s="1"/>
  <c r="Z88" i="23"/>
  <c r="AF77" i="23"/>
  <c r="AF70" i="23"/>
  <c r="AE72" i="23"/>
  <c r="AA83" i="23" l="1"/>
  <c r="AA86" i="23" s="1"/>
  <c r="AA87" i="23" s="1"/>
  <c r="AA90" i="23" s="1"/>
  <c r="AB83" i="23"/>
  <c r="AC78" i="23"/>
  <c r="AC83" i="23" s="1"/>
  <c r="AF71" i="23"/>
  <c r="AA88" i="23" l="1"/>
  <c r="AA84" i="23"/>
  <c r="AA89" i="23" s="1"/>
  <c r="AB88" i="23"/>
  <c r="AB84" i="23"/>
  <c r="AC88" i="23"/>
  <c r="AC86" i="23"/>
  <c r="AD78" i="23"/>
  <c r="AD83" i="23" s="1"/>
  <c r="AD86" i="23" s="1"/>
  <c r="AC84" i="23"/>
  <c r="AB86" i="23"/>
  <c r="AB87" i="23" s="1"/>
  <c r="AB90" i="23" s="1"/>
  <c r="AF72" i="23"/>
  <c r="AB89" i="23" l="1"/>
  <c r="AC89" i="23"/>
  <c r="AD87" i="23"/>
  <c r="AE78" i="23"/>
  <c r="AE83" i="23" s="1"/>
  <c r="AD88" i="23"/>
  <c r="AD84" i="23"/>
  <c r="AD89" i="23" s="1"/>
  <c r="AC87" i="23"/>
  <c r="AC90" i="23" s="1"/>
  <c r="AF78" i="23" l="1"/>
  <c r="AF83" i="23" s="1"/>
  <c r="AF86" i="23" s="1"/>
  <c r="AE86" i="23"/>
  <c r="AE87" i="23" s="1"/>
  <c r="AE90" i="23" s="1"/>
  <c r="AE84" i="23"/>
  <c r="AE89" i="23" s="1"/>
  <c r="AE88" i="23"/>
  <c r="AD90" i="23"/>
  <c r="AF84" i="23" l="1"/>
  <c r="AF89" i="23" s="1"/>
  <c r="AF88" i="23"/>
  <c r="AF87" i="23"/>
  <c r="AF90" i="23" s="1"/>
</calcChain>
</file>

<file path=xl/sharedStrings.xml><?xml version="1.0" encoding="utf-8"?>
<sst xmlns="http://schemas.openxmlformats.org/spreadsheetml/2006/main" count="1117" uniqueCount="642">
  <si>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</si>
  <si>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</si>
  <si>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</si>
  <si>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</si>
  <si>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</si>
  <si>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</si>
  <si>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</si>
  <si>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</si>
  <si>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</si>
  <si>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</si>
  <si>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</si>
  <si>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</si>
  <si>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</si>
  <si>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</si>
  <si>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</si>
  <si>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</si>
  <si>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</si>
  <si>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</si>
  <si>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</si>
  <si>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</si>
  <si>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</si>
  <si>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</si>
  <si>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</si>
  <si>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</si>
  <si>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</si>
  <si>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</si>
  <si>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</si>
  <si>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</si>
  <si>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</si>
  <si>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</si>
  <si>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</si>
  <si>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</si>
  <si>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</si>
  <si>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</si>
  <si>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</si>
  <si>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</si>
  <si>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</si>
  <si>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</si>
  <si>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</si>
  <si>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</si>
  <si>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</si>
  <si>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</si>
  <si>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</si>
  <si>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</si>
  <si>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</si>
  <si>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</si>
  <si>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</si>
  <si>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</si>
  <si>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</si>
  <si>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</si>
  <si>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</si>
  <si>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</si>
  <si>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</si>
  <si>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</si>
  <si>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</si>
  <si>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</si>
  <si>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</si>
  <si>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</si>
  <si>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</si>
  <si>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</si>
  <si>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</si>
  <si>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</si>
  <si>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</si>
  <si>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</si>
  <si>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</si>
  <si>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</si>
  <si>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</si>
  <si>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</si>
  <si>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</si>
  <si>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</si>
  <si>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</si>
  <si>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</si>
  <si>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</si>
  <si>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</si>
  <si>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</si>
  <si>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</si>
  <si>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</si>
  <si>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</si>
  <si>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</si>
  <si>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</si>
  <si>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</si>
  <si>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</si>
  <si>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</si>
  <si>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</si>
  <si>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</si>
  <si>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</si>
  <si>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</si>
  <si>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</si>
  <si>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</si>
  <si>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</si>
  <si>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</si>
  <si>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</si>
  <si>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</si>
  <si>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</si>
  <si>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</si>
  <si>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</si>
  <si>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</si>
  <si>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</si>
  <si>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</si>
  <si>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</si>
  <si>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</si>
  <si>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</si>
  <si>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</si>
  <si>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</si>
  <si>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</si>
  <si>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</si>
  <si>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</si>
  <si>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</si>
  <si>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</si>
  <si>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</si>
  <si>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</si>
  <si>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</si>
  <si>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</si>
  <si>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</si>
  <si>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</si>
  <si>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</si>
  <si>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</si>
  <si>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</si>
  <si>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</si>
  <si>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</si>
  <si>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</si>
  <si>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</si>
  <si>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</si>
  <si>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</si>
  <si>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</si>
  <si>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</si>
  <si>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</si>
  <si>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</si>
  <si>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</si>
  <si>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</si>
  <si>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</si>
  <si>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</si>
  <si>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</si>
  <si>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</si>
  <si>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</si>
  <si>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</si>
  <si>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</si>
  <si>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</si>
  <si>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</si>
  <si>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</si>
  <si>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</si>
  <si>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</si>
  <si>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</si>
  <si>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</si>
  <si>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</si>
  <si>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</si>
  <si>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</si>
  <si>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</si>
  <si>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</si>
  <si>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</si>
  <si>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</si>
  <si>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</si>
  <si>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</si>
  <si>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</si>
  <si>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</si>
  <si>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</si>
  <si>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</si>
  <si>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</si>
  <si>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</si>
  <si>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</si>
  <si>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</si>
  <si>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</si>
  <si>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</si>
  <si>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</si>
  <si>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</si>
  <si>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</si>
  <si>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</si>
  <si>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</si>
  <si>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</si>
  <si>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</si>
  <si>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</si>
  <si>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</si>
  <si>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</si>
  <si>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</si>
  <si>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</si>
  <si>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</si>
  <si>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</si>
  <si>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</si>
  <si>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</si>
  <si>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</si>
  <si>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</si>
  <si>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</si>
  <si>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</si>
  <si>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</si>
  <si>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</si>
  <si>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</si>
  <si>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</si>
  <si>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</si>
  <si>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</si>
  <si>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</si>
  <si>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</si>
  <si>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</si>
  <si>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</si>
  <si>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</si>
  <si>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</si>
  <si>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</si>
  <si>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</si>
  <si>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</si>
  <si>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</si>
  <si>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</si>
  <si>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</si>
  <si>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</si>
  <si>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</si>
  <si>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</si>
  <si>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</si>
  <si>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</si>
  <si>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</si>
  <si>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</si>
  <si>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</si>
  <si>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</si>
  <si>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</si>
  <si>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</si>
  <si>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</si>
  <si>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</si>
  <si>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</si>
  <si>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</si>
  <si>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</si>
  <si>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</si>
  <si>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</si>
  <si>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</si>
  <si>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</si>
  <si>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</si>
  <si>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</si>
  <si>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</si>
  <si>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</si>
  <si>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</si>
  <si>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</si>
  <si>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</si>
  <si>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</si>
  <si>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</si>
  <si>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</si>
  <si>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</si>
  <si>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</si>
  <si>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</si>
  <si>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</si>
  <si>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</si>
  <si>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</si>
  <si>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</si>
  <si>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</si>
  <si>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</si>
  <si>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</si>
  <si>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</si>
  <si>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</si>
  <si>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</si>
  <si>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</si>
  <si>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</si>
  <si>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</si>
  <si>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</si>
  <si>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</si>
  <si>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</si>
  <si>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</si>
  <si>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</si>
  <si>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</si>
  <si>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</si>
  <si>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</si>
  <si>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</si>
  <si>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</si>
  <si>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</si>
  <si>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</si>
  <si>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</si>
  <si>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</si>
  <si>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</si>
  <si>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</si>
  <si>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</si>
  <si>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</si>
  <si>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</si>
  <si>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</si>
  <si>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</si>
  <si>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</si>
  <si>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</si>
  <si>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</si>
  <si>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</si>
  <si>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</si>
  <si>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</si>
  <si>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</si>
  <si>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</si>
  <si>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</si>
  <si>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</si>
  <si>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</si>
  <si>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</si>
  <si>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</si>
  <si>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</si>
  <si>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</si>
  <si>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</si>
  <si>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</si>
  <si>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</si>
  <si>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</si>
  <si>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</si>
  <si>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</si>
  <si>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</si>
  <si>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</si>
  <si>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</si>
  <si>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</si>
  <si>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</si>
  <si>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</si>
  <si>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</si>
  <si>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</si>
  <si>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</si>
  <si>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</si>
  <si>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</si>
  <si>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</si>
  <si>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</si>
  <si>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</si>
  <si>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</si>
  <si>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</si>
  <si>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</si>
  <si>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</si>
  <si>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</si>
  <si>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</si>
  <si>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</si>
  <si>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</si>
  <si>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</si>
  <si>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</si>
  <si>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</si>
  <si>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</si>
  <si>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</si>
  <si>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</si>
  <si>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</si>
  <si>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</si>
  <si>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</si>
  <si>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</si>
  <si>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</si>
  <si>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</si>
  <si>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</si>
  <si>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</si>
  <si>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</si>
  <si>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</si>
  <si>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</si>
  <si>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</si>
  <si>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</si>
  <si>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</si>
  <si>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</si>
  <si>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</si>
  <si>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</si>
  <si>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</si>
  <si>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</si>
  <si>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</si>
  <si>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</si>
  <si>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</si>
  <si>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</si>
  <si>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</si>
  <si>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</si>
  <si>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</si>
  <si>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</si>
  <si>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</si>
  <si>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</si>
  <si>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</si>
  <si>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</si>
  <si>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</si>
  <si>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</si>
  <si>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</si>
  <si>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</si>
  <si>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</si>
  <si>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</si>
  <si>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</si>
  <si>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</si>
  <si>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</si>
  <si>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</si>
  <si>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</si>
  <si>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</si>
  <si>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</si>
  <si>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</si>
  <si>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</si>
  <si>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</si>
  <si>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</si>
  <si>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</si>
  <si>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</si>
  <si>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</si>
  <si>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</si>
  <si>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</si>
  <si>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</si>
  <si>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</si>
  <si>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</si>
  <si>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</si>
  <si>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</si>
  <si>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</si>
  <si>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</si>
  <si>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</si>
  <si>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</si>
  <si>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</si>
  <si>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</si>
  <si>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</si>
  <si>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</si>
  <si>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</si>
  <si>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</si>
  <si>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</si>
  <si>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</si>
  <si>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</si>
  <si>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</si>
  <si>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</si>
  <si>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</si>
  <si>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</si>
  <si>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</si>
  <si>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</si>
  <si>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</si>
  <si>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</si>
  <si>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</si>
  <si>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</si>
  <si>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</si>
  <si>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</si>
  <si>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</si>
  <si>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</si>
  <si>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</si>
  <si>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</si>
  <si>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</si>
  <si>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</si>
  <si>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</si>
  <si>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</si>
  <si>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</si>
  <si>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</si>
  <si>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</si>
  <si>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</si>
  <si>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</si>
  <si>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</si>
  <si>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</si>
  <si>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</si>
  <si>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</si>
  <si>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</si>
  <si>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</si>
  <si>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</si>
  <si>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</si>
  <si>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</si>
  <si>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</si>
  <si>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</si>
  <si>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</si>
  <si>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</si>
  <si>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</si>
  <si>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</si>
  <si>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</si>
  <si>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</si>
  <si>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</si>
  <si>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</si>
  <si>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</si>
  <si>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</si>
  <si>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</si>
  <si>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</si>
  <si>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</si>
  <si>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</si>
  <si>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</si>
  <si>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</si>
  <si>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</si>
  <si>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</si>
  <si>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</si>
  <si>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</si>
  <si>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</si>
  <si>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</si>
  <si>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</si>
  <si>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</si>
  <si>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</si>
  <si>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</si>
  <si>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</si>
  <si>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</si>
  <si>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</si>
  <si>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</si>
  <si>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</si>
  <si>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</si>
  <si>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</si>
  <si>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</si>
  <si>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</si>
  <si>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</si>
  <si>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</si>
  <si>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</si>
  <si>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</si>
  <si>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</si>
  <si>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</si>
  <si>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</si>
  <si>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</si>
  <si>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</si>
  <si>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</si>
  <si>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</si>
  <si>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</si>
  <si>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</si>
  <si>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</si>
  <si>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</si>
  <si>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</si>
  <si>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</si>
  <si>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</si>
  <si>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</si>
  <si>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</si>
  <si>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</si>
  <si>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</si>
  <si>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</si>
  <si>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</si>
  <si>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</si>
  <si>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</si>
  <si>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</si>
  <si>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</si>
  <si>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</si>
  <si>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</si>
  <si>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</si>
  <si>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</si>
  <si>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</si>
  <si>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</si>
  <si>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</si>
  <si>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</si>
  <si>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</si>
  <si>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</si>
  <si>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</si>
  <si>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</si>
  <si>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</si>
  <si>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</si>
  <si>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</si>
  <si>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</si>
  <si>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</si>
  <si>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</si>
  <si>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</si>
  <si>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</si>
  <si>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</si>
  <si>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</si>
  <si>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</si>
  <si>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</si>
  <si>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</si>
  <si>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</si>
  <si>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</si>
  <si>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</si>
  <si>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</si>
  <si>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</si>
  <si>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</si>
  <si>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</si>
  <si>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</si>
  <si>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</si>
  <si>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</si>
  <si>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</si>
  <si>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</si>
  <si>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</si>
  <si>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</si>
  <si>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</si>
  <si>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</si>
  <si>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</si>
  <si>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</si>
  <si>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</si>
  <si>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</si>
  <si>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</si>
  <si>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</si>
  <si>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</si>
  <si>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</si>
  <si>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</si>
  <si>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</si>
  <si>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</si>
  <si>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</si>
  <si>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</si>
  <si>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</si>
  <si>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</si>
  <si>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</si>
  <si>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</si>
  <si>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</si>
  <si>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</si>
  <si>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</si>
  <si>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</si>
  <si>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</si>
  <si>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</si>
  <si>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</si>
  <si>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</si>
  <si>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</si>
  <si>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</si>
  <si>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</si>
  <si>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</si>
  <si>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</si>
  <si>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</si>
  <si>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</si>
  <si>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</si>
  <si>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</si>
  <si>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</si>
  <si>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</si>
  <si>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</si>
  <si>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</si>
  <si>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</si>
  <si>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</si>
  <si>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</si>
  <si>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</si>
  <si>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</si>
  <si>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</si>
  <si>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</si>
  <si>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ГП</t>
  </si>
  <si>
    <t>ВЗ</t>
  </si>
  <si>
    <t xml:space="preserve"> - незаконтрактованные затраты</t>
  </si>
  <si>
    <t>АО "Россети Янтарь"</t>
  </si>
  <si>
    <t>ОК</t>
  </si>
  <si>
    <t>0.4 кВ</t>
  </si>
  <si>
    <t>в земле</t>
  </si>
  <si>
    <t>1.2.1.</t>
  </si>
  <si>
    <t>3.7.</t>
  </si>
  <si>
    <t>4.1.</t>
  </si>
  <si>
    <t>2024 год</t>
  </si>
  <si>
    <t>2025 год</t>
  </si>
  <si>
    <t>2026 год</t>
  </si>
  <si>
    <t>2027 год</t>
  </si>
  <si>
    <t>2028 год</t>
  </si>
  <si>
    <t xml:space="preserve"> по состоянию на 01.01.2023</t>
  </si>
  <si>
    <t>К/Л</t>
  </si>
  <si>
    <t>Расчет предельной стоимости лота</t>
  </si>
  <si>
    <t>https://lot-online.ru</t>
  </si>
  <si>
    <t>ООО "ОРИОН"</t>
  </si>
  <si>
    <t>Сметная стоимость проекта в ценах  2023 года с НДС, млн. руб.</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</si>
  <si>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</si>
  <si>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</si>
  <si>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Городской округ "Город Калининград"</t>
  </si>
  <si>
    <t>7776/08/21 от 25.10.2021</t>
  </si>
  <si>
    <t>Калининградская обл, Калининград г, Генерала Толстикова ул.</t>
  </si>
  <si>
    <t>Многоквартирный жилой дом</t>
  </si>
  <si>
    <t xml:space="preserve">1) кабельные наконечники КЛ-1 кВ (ТП Новая (п.10.1)- I секция ВРУ (1), ВРУ(2) 0,4 кВ многоквартирного дома по ул. Генерала Толстикова (п.11.1)) на I секции в ВРУ(1), ВРУ (2) 0,4 кВ многоквартирного дома по ул. Генерала Толстикова (п.11.1); </t>
  </si>
  <si>
    <t xml:space="preserve">10.1. В районе участка объекта, в доступном для эксплуатационно- технического обслуживания персоналом  АО ''Янтарьэнерго''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двух  КЛ-10 кВ (ориентировочно 2х250 м) от ячейки № 48-05 на I секции  и ячейки № 48-24 на II секции ЗРУ-10 кВ ПС 110 кВ О-48 Молокозаводская до разных секций РУ-10 кВ ТП новой (п.10.1) с использованием кабелей сечением не менее 120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проектом.Произвести проектирование, монтаж  
10.3. На I секции ЗРУ-10 кВ ПС 110 кВ О-48 Молокозаводская выполнить монтаж новой линейной ячейки 10 кВ и доукомплектацию и наладку резервной линейной ячейки 10 кВ 48-05  (тип оборудования, комплектацию согласовать с ''Западным РЭС'' АО ''Янтарьэнерго'').
10.4. КЛ 10 кВ  О-48 - ТП -766  вывести из ячейки  № 48-24 на II секции  и завести в любую из ячеек на  I секции ПС 110 кВ О-48 Молозаводская по п.10.3.
10.5. На вводах КЛ-10 кВ (п.10.2) в ЗРУ-10 кВ ПС 110 кВ О-48 Молокозаводская выполнить монтаж трансформаторов тока нулевой последовательности.
10.6. От I и II секции РУ 0,4 кВ  ТПновая (п. 10.1) до I и II секции ВРУ (1) 0,4 кВ и I и II секции ВРУ (2) 0,4 кВ (п.11.1) выполнить проектирование, монтаж КЛ 0,4 кВ (ориентировочно 2х500 м) сечением  токопроводящих жил не менее 240 мм2,  в т.ч. проколы ГНБ 0,10 км, смонтировать концевые муфты. </t>
  </si>
  <si>
    <t>7776/08/21 д/с № 3 от 15.12.2022</t>
  </si>
  <si>
    <t>ТП 10/0,4 кВ новая</t>
  </si>
  <si>
    <t>Т-1, Т-2</t>
  </si>
  <si>
    <t>ТМГ-10/0,4 кВ 250 кВА</t>
  </si>
  <si>
    <t>КЛ 10 кВ 48-05</t>
  </si>
  <si>
    <t>от ПС 110 кВ О-48 Молокозаводская 1с. до КТП новой</t>
  </si>
  <si>
    <t>КЛ 10 кВ 48-24</t>
  </si>
  <si>
    <t>от ПС 110 кВ О-48 Молокозаводская 2с. до КТП новой</t>
  </si>
  <si>
    <t>ПС 110 кВ О-48 Молокозаводская</t>
  </si>
  <si>
    <t>Выключатель - 2шт.</t>
  </si>
  <si>
    <t>КТП новая - ВРУ 0,4 кВ</t>
  </si>
  <si>
    <t>Выполнение работ по титулу: "Строительство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</si>
  <si>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ООО "СБ "РЕГИОН"</t>
  </si>
  <si>
    <t>32211134303</t>
  </si>
  <si>
    <t>ООО "ЭП"</t>
  </si>
  <si>
    <t>Договор под ключ ООО "СБ Регион" № 32211134303 от 27.04.2022 в ценах 2022 года с НДС, млн. руб.</t>
  </si>
  <si>
    <t>Договор под ключ ООО "СБ Регион" № 32211134303 от 27.04.2022</t>
  </si>
  <si>
    <t>ТП 10/0,4 кВ 2х250 кВА, вакуумный выключатель 10 кВ 2 шт.</t>
  </si>
  <si>
    <t>Акционерное общество "Россети Янтарь" ДЗО  ПАО "Россети"</t>
  </si>
  <si>
    <t>В 48-05, В КЛ-нов</t>
  </si>
  <si>
    <t>ISM15_LD1 (BB/TEL-10) 10кВ 1000А, 51кА</t>
  </si>
  <si>
    <t>С</t>
  </si>
  <si>
    <t>КЛ 0,4 кВ  от КТП новой N1, N3</t>
  </si>
  <si>
    <t>КЛ 0,4 кВ  от КТП новой N2, N4</t>
  </si>
  <si>
    <t>Строительство ТП 10/0,4 кВ с трансформаторами 2х250 кВА, КЛ 10 кВ протяженностью 0,65 км, КЛ 0,4 кВ протяженностью 2х0,3 км, реконструкция ПС 110 кВ О-48 Молокозаводская: доукомплектация, пусконаладка и испытания линейной ячейки № 48-05 на I секции и ячейки № 48-24 на II секции ЗРУ-10 кВ ПС 110 кВ О-48 Молокозаводская для присоединения проектируемых КЛ-10 кВ, организация системы учета электроэнергии по ул. Генерала Толстикова в г. Калининграде</t>
  </si>
  <si>
    <t>КЛ 0.4 кВ - 4,24 млн.руб./км; 
КЛ 10 кВ - 5,79 млн.руб./км; 
ТП 10/0,4 кВ - 27,11 млн.руб./МВА</t>
  </si>
  <si>
    <t>ПСД, утв. приказом № 56 от 26.04.2023</t>
  </si>
  <si>
    <t>ДС об уменьшении стоимости на подготовке</t>
  </si>
  <si>
    <t>Инвестиции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</si>
  <si>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</si>
  <si>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В ООО "СБ "Регион" направлены претензии о взыскании неустойки от 17.04.2023 №ЯЭ/60/456, от 11.05.2023 № ЯЭ/60/508, письмо Об удержании пени по договору от 21.06.2023 № ЯЭ/60/772.</t>
  </si>
  <si>
    <t>Факт 2023 года</t>
  </si>
  <si>
    <t>Этап исполнен (д/с в архиве)</t>
  </si>
  <si>
    <t>Содержание дирекции заказчика-застройщика в ценах 2023 года, млн рублей</t>
  </si>
  <si>
    <t xml:space="preserve">Договор об осуществлении технологического присоединения 7776/08/21 от 25.10.2021; Постановление Правительства Российской Федерации от 27 декабря 2004 г. № 861. 
Отклонение плановых параметров обусловлено нарушением сроков выполения работ по договору подряда. Проводится претензионная работа (письма №ЯЭ/60/456 и №ЯЭ/60/508 от 17.04.2023 и 11.05.2023, соответственно).
Кроме этого, невозможно завершить работы по причине отсутствия ВРУ жилых домов Заявителя до 4 квартала 2024 года (жилые дома не построены). Срок договора ТП продлен по инициативе Заявителя до 31.12.2024. </t>
  </si>
  <si>
    <t xml:space="preserve">Отклонение плановых параметров обусловлено нарушением сроков выполения работ по договору подряда. Проводится претензионная работа (письма №ЯЭ/60/456 и №ЯЭ/60/508 от 17.04.2023 и 11.05.2023, соответственно).
Кроме этого, невозможно завершить работы по причине отсутствия ВРУ жилых домов Заявителя до 4 квартала 2024 года (жилые дома не построены). Срок договора ТП продлен по инициативе Заявителя до 31.12.2024. </t>
  </si>
  <si>
    <t>среднеотпускной тариф на услуги по передаче, руб/тыс.кВтч</t>
  </si>
  <si>
    <t>тариф, руб/ тыс.кВтч</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</si>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</sst>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sz val="11"/>
      <color rgb="FFFF0000"/>
      <name val="Times New Roman"/>
      <family val="1"/>
      <charset val="204"/>
    </font>
    <font>
      <b/>
      <sz val="12"/>
      <color rgb="FF00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
      <patternFill patternType="solid">
        <fgColor rgb="FFE6B8B7"/>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3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9"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49" xfId="62" applyFont="1" applyFill="1" applyBorder="1" applyAlignment="1">
      <alignment horizontal="center" vertical="center" wrapText="1"/>
    </xf>
    <xf numFmtId="0" fontId="53" fillId="0" borderId="49" xfId="62" applyFont="1" applyFill="1" applyBorder="1" applyAlignment="1">
      <alignment horizontal="center" vertical="center"/>
    </xf>
    <xf numFmtId="0" fontId="29" fillId="0" borderId="49" xfId="62" applyFont="1" applyBorder="1" applyAlignment="1">
      <alignment horizontal="center" vertical="center" wrapText="1"/>
    </xf>
    <xf numFmtId="0" fontId="29" fillId="0" borderId="49"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xf numFmtId="0" fontId="66" fillId="0" borderId="0" xfId="1" applyFont="1" applyAlignment="1">
      <alignment horizontal="left" vertical="center"/>
    </xf>
    <xf numFmtId="0" fontId="2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53" fillId="0" borderId="0" xfId="1" applyFont="1" applyAlignment="1">
      <alignment vertical="center"/>
    </xf>
    <xf numFmtId="0" fontId="64" fillId="0" borderId="0" xfId="1" applyFont="1" applyBorder="1"/>
    <xf numFmtId="0" fontId="62" fillId="0" borderId="0" xfId="1" applyFont="1" applyAlignment="1">
      <alignment horizontal="center" vertical="center"/>
    </xf>
    <xf numFmtId="0" fontId="68" fillId="0" borderId="0" xfId="1" applyFont="1"/>
    <xf numFmtId="0" fontId="67"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9"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0"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5"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0" xfId="62" applyFont="1" applyFill="1"/>
    <xf numFmtId="0" fontId="30" fillId="0" borderId="0" xfId="62"/>
    <xf numFmtId="0" fontId="65" fillId="0" borderId="0" xfId="62" applyFont="1"/>
    <xf numFmtId="0" fontId="30" fillId="0" borderId="0" xfId="62" applyAlignment="1">
      <alignment wrapText="1"/>
    </xf>
    <xf numFmtId="0" fontId="65"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4" fontId="65"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0" xfId="62" applyFont="1" applyBorder="1" applyAlignment="1">
      <alignment horizontal="center" vertical="center" wrapText="1"/>
    </xf>
    <xf numFmtId="0" fontId="3" fillId="0" borderId="50"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1" fontId="31" fillId="0" borderId="51" xfId="49" applyNumberFormat="1" applyFont="1" applyBorder="1" applyAlignment="1">
      <alignment horizontal="center" vertical="center" wrapText="1"/>
    </xf>
    <xf numFmtId="0" fontId="31" fillId="0" borderId="51" xfId="49" applyFont="1" applyFill="1" applyBorder="1" applyAlignment="1">
      <alignment horizontal="center" vertical="center" wrapText="1"/>
    </xf>
    <xf numFmtId="14" fontId="31" fillId="0" borderId="51" xfId="49" applyNumberFormat="1" applyFont="1" applyFill="1" applyBorder="1" applyAlignment="1">
      <alignment horizontal="center" vertical="center" wrapText="1"/>
    </xf>
    <xf numFmtId="2" fontId="31" fillId="0" borderId="51"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0" fontId="31" fillId="0" borderId="51" xfId="49" applyFont="1" applyBorder="1" applyAlignment="1">
      <alignment horizontal="center" vertical="center" wrapText="1"/>
    </xf>
    <xf numFmtId="14" fontId="31" fillId="0" borderId="51" xfId="49" applyNumberFormat="1" applyFont="1" applyBorder="1" applyAlignment="1">
      <alignment horizontal="center" vertical="center" wrapText="1"/>
    </xf>
    <xf numFmtId="4" fontId="31" fillId="0" borderId="41"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29" fillId="0" borderId="53"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58" fillId="0" borderId="54" xfId="1" applyFont="1" applyBorder="1" applyAlignment="1">
      <alignment horizontal="center" vertical="center" wrapText="1"/>
    </xf>
    <xf numFmtId="0" fontId="53" fillId="0" borderId="54" xfId="1" applyFont="1" applyBorder="1" applyAlignment="1">
      <alignment horizontal="center" vertical="center" wrapText="1"/>
    </xf>
    <xf numFmtId="0" fontId="53" fillId="0" borderId="56" xfId="1" applyFont="1" applyBorder="1" applyAlignment="1">
      <alignment horizontal="center" vertical="center" wrapText="1"/>
    </xf>
    <xf numFmtId="49" fontId="53" fillId="0" borderId="54" xfId="1" applyNumberFormat="1" applyFont="1" applyBorder="1" applyAlignment="1">
      <alignment vertical="center"/>
    </xf>
    <xf numFmtId="0" fontId="3" fillId="0" borderId="56" xfId="2" applyFont="1" applyFill="1" applyBorder="1" applyAlignment="1">
      <alignment vertical="center" wrapText="1"/>
    </xf>
    <xf numFmtId="0" fontId="3" fillId="0" borderId="54" xfId="1" applyFont="1" applyBorder="1" applyAlignment="1">
      <alignment vertical="center"/>
    </xf>
    <xf numFmtId="3" fontId="59" fillId="0" borderId="58" xfId="67" applyNumberFormat="1" applyFont="1" applyFill="1" applyBorder="1" applyAlignment="1">
      <alignment vertical="center"/>
    </xf>
    <xf numFmtId="0" fontId="51" fillId="0" borderId="59" xfId="67" applyFont="1" applyFill="1" applyBorder="1" applyAlignment="1">
      <alignment vertical="center" wrapText="1"/>
    </xf>
    <xf numFmtId="0" fontId="53" fillId="0" borderId="59" xfId="67" applyFont="1" applyFill="1" applyBorder="1" applyAlignment="1">
      <alignment vertical="center" wrapText="1"/>
    </xf>
    <xf numFmtId="9" fontId="59" fillId="0" borderId="60" xfId="67" applyNumberFormat="1" applyFont="1" applyFill="1" applyBorder="1" applyAlignment="1">
      <alignment vertical="center"/>
    </xf>
    <xf numFmtId="0" fontId="53" fillId="0" borderId="61" xfId="67" applyFont="1" applyFill="1" applyBorder="1" applyAlignment="1">
      <alignment vertical="center" wrapText="1"/>
    </xf>
    <xf numFmtId="174" fontId="59" fillId="0" borderId="59" xfId="67" applyNumberFormat="1" applyFont="1" applyFill="1" applyBorder="1" applyAlignment="1">
      <alignment vertical="center"/>
    </xf>
    <xf numFmtId="10" fontId="59" fillId="0" borderId="54" xfId="67" applyNumberFormat="1" applyFont="1" applyFill="1" applyBorder="1" applyAlignment="1">
      <alignment vertical="center"/>
    </xf>
    <xf numFmtId="3" fontId="27" fillId="0" borderId="54" xfId="67" applyNumberFormat="1" applyFont="1" applyFill="1" applyBorder="1" applyAlignment="1">
      <alignment vertical="center"/>
    </xf>
    <xf numFmtId="3" fontId="28" fillId="0" borderId="54" xfId="67" applyNumberFormat="1" applyFont="1" applyFill="1" applyBorder="1" applyAlignment="1">
      <alignment vertical="center"/>
    </xf>
    <xf numFmtId="168" fontId="27" fillId="0" borderId="54" xfId="67" applyNumberFormat="1" applyFont="1" applyFill="1" applyBorder="1" applyAlignment="1">
      <alignment horizontal="center" vertical="center"/>
    </xf>
    <xf numFmtId="169" fontId="28" fillId="0" borderId="54" xfId="67" applyNumberFormat="1" applyFont="1" applyFill="1" applyBorder="1" applyAlignment="1">
      <alignment vertical="center"/>
    </xf>
    <xf numFmtId="170" fontId="28" fillId="0" borderId="54" xfId="67" applyNumberFormat="1" applyFont="1" applyFill="1" applyBorder="1" applyAlignment="1">
      <alignment vertical="center"/>
    </xf>
    <xf numFmtId="0" fontId="30" fillId="0" borderId="54" xfId="62" applyBorder="1" applyAlignment="1">
      <alignment horizontal="center" vertical="center" wrapText="1"/>
    </xf>
    <xf numFmtId="0" fontId="30" fillId="28" borderId="54" xfId="62" applyFill="1" applyBorder="1" applyAlignment="1">
      <alignment horizontal="center" vertical="center"/>
    </xf>
    <xf numFmtId="0" fontId="30" fillId="0" borderId="54" xfId="62" applyBorder="1" applyAlignment="1">
      <alignment horizontal="center" vertical="center"/>
    </xf>
    <xf numFmtId="0" fontId="30" fillId="0" borderId="54" xfId="62" applyBorder="1" applyAlignment="1">
      <alignment horizontal="left" vertical="center" wrapText="1"/>
    </xf>
    <xf numFmtId="4" fontId="30" fillId="0" borderId="54" xfId="62" applyNumberFormat="1" applyBorder="1" applyAlignment="1">
      <alignment horizontal="center" vertical="center"/>
    </xf>
    <xf numFmtId="0" fontId="30" fillId="28"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30" fillId="28" borderId="54" xfId="68" applyFont="1" applyFill="1" applyBorder="1" applyAlignment="1">
      <alignment horizontal="center" vertical="center"/>
    </xf>
    <xf numFmtId="0" fontId="30" fillId="27" borderId="54" xfId="62" applyFill="1" applyBorder="1" applyAlignment="1">
      <alignment horizontal="center" vertical="center" wrapText="1"/>
    </xf>
    <xf numFmtId="0" fontId="30" fillId="0" borderId="54" xfId="62" applyFill="1" applyBorder="1" applyAlignment="1">
      <alignment horizontal="center" vertical="center" wrapText="1"/>
    </xf>
    <xf numFmtId="0" fontId="30" fillId="0" borderId="54" xfId="62" applyBorder="1" applyAlignment="1">
      <alignment wrapText="1"/>
    </xf>
    <xf numFmtId="0" fontId="30" fillId="0" borderId="54" xfId="62" applyBorder="1"/>
    <xf numFmtId="0" fontId="30" fillId="0" borderId="54" xfId="62" applyBorder="1" applyAlignment="1">
      <alignment horizontal="left" wrapText="1"/>
    </xf>
    <xf numFmtId="0" fontId="65" fillId="0" borderId="54" xfId="62" applyFont="1" applyBorder="1" applyAlignment="1">
      <alignment wrapText="1"/>
    </xf>
    <xf numFmtId="4" fontId="65" fillId="27" borderId="54" xfId="62" applyNumberFormat="1" applyFont="1" applyFill="1" applyBorder="1" applyAlignment="1">
      <alignment horizontal="center"/>
    </xf>
    <xf numFmtId="3" fontId="65" fillId="27" borderId="54" xfId="62" applyNumberFormat="1" applyFont="1" applyFill="1" applyBorder="1" applyAlignment="1">
      <alignment horizontal="center"/>
    </xf>
    <xf numFmtId="0" fontId="65" fillId="0" borderId="57" xfId="62" applyFont="1" applyBorder="1" applyAlignment="1">
      <alignment wrapText="1"/>
    </xf>
    <xf numFmtId="3" fontId="65" fillId="0" borderId="57" xfId="62" applyNumberFormat="1" applyFont="1" applyFill="1" applyBorder="1"/>
    <xf numFmtId="4" fontId="65" fillId="0" borderId="54" xfId="62" applyNumberFormat="1" applyFont="1" applyFill="1" applyBorder="1" applyAlignment="1">
      <alignment horizontal="center"/>
    </xf>
    <xf numFmtId="4" fontId="65" fillId="28" borderId="54" xfId="62" applyNumberFormat="1" applyFont="1" applyFill="1" applyBorder="1" applyAlignment="1">
      <alignment horizontal="center"/>
    </xf>
    <xf numFmtId="10" fontId="65" fillId="28" borderId="54" xfId="62" applyNumberFormat="1" applyFont="1" applyFill="1" applyBorder="1" applyAlignment="1">
      <alignment horizontal="center"/>
    </xf>
    <xf numFmtId="0" fontId="53" fillId="0" borderId="57" xfId="67" applyFont="1" applyFill="1" applyBorder="1" applyAlignment="1">
      <alignment vertical="center" wrapText="1"/>
    </xf>
    <xf numFmtId="3" fontId="59" fillId="0" borderId="57" xfId="67" applyNumberFormat="1" applyFont="1" applyFill="1" applyBorder="1" applyAlignment="1">
      <alignment horizontal="center" vertical="center"/>
    </xf>
    <xf numFmtId="0" fontId="65" fillId="0" borderId="54" xfId="62" applyFont="1" applyBorder="1"/>
    <xf numFmtId="0" fontId="65" fillId="30" borderId="54" xfId="62" applyFont="1" applyFill="1" applyBorder="1"/>
    <xf numFmtId="10" fontId="59" fillId="30" borderId="54" xfId="67" applyNumberFormat="1" applyFont="1" applyFill="1" applyBorder="1" applyAlignment="1">
      <alignment vertical="center"/>
    </xf>
    <xf numFmtId="0" fontId="65" fillId="0" borderId="57" xfId="62" applyFont="1" applyFill="1" applyBorder="1"/>
    <xf numFmtId="10" fontId="65" fillId="0" borderId="57" xfId="62" applyNumberFormat="1" applyFont="1" applyFill="1" applyBorder="1"/>
    <xf numFmtId="3" fontId="53" fillId="30" borderId="54" xfId="67" applyNumberFormat="1" applyFont="1" applyFill="1" applyBorder="1" applyAlignment="1">
      <alignment horizontal="right" vertical="center"/>
    </xf>
    <xf numFmtId="167" fontId="59" fillId="30" borderId="54" xfId="67" applyNumberFormat="1" applyFont="1" applyFill="1" applyBorder="1" applyAlignment="1">
      <alignment horizontal="right" vertical="center"/>
    </xf>
    <xf numFmtId="173" fontId="58" fillId="0" borderId="54" xfId="2" applyNumberFormat="1" applyFont="1" applyFill="1" applyBorder="1" applyAlignment="1">
      <alignment horizontal="center" vertical="center" wrapText="1"/>
    </xf>
    <xf numFmtId="0" fontId="29" fillId="0" borderId="62" xfId="2" applyFont="1" applyFill="1" applyBorder="1" applyAlignment="1">
      <alignment horizontal="center" vertical="center" wrapText="1"/>
    </xf>
    <xf numFmtId="0" fontId="3" fillId="0" borderId="62" xfId="2" applyFont="1" applyFill="1" applyBorder="1" applyAlignment="1">
      <alignment horizontal="center" vertical="center" wrapText="1"/>
    </xf>
    <xf numFmtId="0" fontId="29" fillId="0" borderId="54" xfId="2" applyFont="1" applyFill="1" applyBorder="1" applyAlignment="1">
      <alignment horizontal="center" vertical="center" textRotation="90" wrapText="1"/>
    </xf>
    <xf numFmtId="173" fontId="29" fillId="0" borderId="54" xfId="2" applyNumberFormat="1" applyFont="1" applyFill="1" applyBorder="1" applyAlignment="1">
      <alignment horizontal="center" vertical="center" wrapText="1"/>
    </xf>
    <xf numFmtId="173" fontId="3" fillId="0" borderId="54" xfId="2" applyNumberFormat="1" applyFont="1" applyFill="1" applyBorder="1" applyAlignment="1">
      <alignment horizontal="center" vertical="center" wrapText="1"/>
    </xf>
    <xf numFmtId="173" fontId="75" fillId="0" borderId="54" xfId="45" applyNumberFormat="1" applyFont="1" applyFill="1" applyBorder="1" applyAlignment="1">
      <alignment horizontal="center" vertical="center" wrapText="1"/>
    </xf>
    <xf numFmtId="173" fontId="75" fillId="0" borderId="2" xfId="45" applyNumberFormat="1" applyFont="1" applyFill="1" applyBorder="1" applyAlignment="1">
      <alignment horizontal="center" vertical="center" wrapText="1"/>
    </xf>
    <xf numFmtId="0" fontId="53" fillId="0" borderId="54" xfId="62" applyFont="1" applyFill="1" applyBorder="1" applyAlignment="1">
      <alignment horizontal="center" vertical="center"/>
    </xf>
    <xf numFmtId="0" fontId="3" fillId="0" borderId="54" xfId="2" applyFont="1" applyFill="1" applyBorder="1" applyAlignment="1">
      <alignment vertical="center" wrapText="1"/>
    </xf>
    <xf numFmtId="0" fontId="27" fillId="31"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9" fillId="0" borderId="54" xfId="2" applyFont="1" applyFill="1" applyBorder="1" applyAlignment="1">
      <alignment horizontal="center" vertical="center" wrapText="1"/>
    </xf>
    <xf numFmtId="167" fontId="59" fillId="0" borderId="0" xfId="67" applyNumberFormat="1" applyFont="1" applyFill="1" applyBorder="1" applyAlignment="1">
      <alignment horizontal="center" vertical="center"/>
    </xf>
    <xf numFmtId="10" fontId="76" fillId="33" borderId="54" xfId="62" applyNumberFormat="1" applyFont="1" applyFill="1" applyBorder="1"/>
    <xf numFmtId="0" fontId="76" fillId="33" borderId="54" xfId="62" applyFont="1" applyFill="1" applyBorder="1" applyAlignment="1">
      <alignment horizontal="center" wrapText="1"/>
    </xf>
    <xf numFmtId="3" fontId="77" fillId="0" borderId="57" xfId="67" applyNumberFormat="1" applyFont="1" applyFill="1" applyBorder="1" applyAlignment="1">
      <alignment horizontal="center" vertical="center"/>
    </xf>
    <xf numFmtId="0" fontId="77" fillId="0" borderId="54" xfId="67" applyFont="1" applyFill="1" applyBorder="1" applyAlignment="1">
      <alignment horizontal="center" vertical="center"/>
    </xf>
    <xf numFmtId="0" fontId="78" fillId="0" borderId="54" xfId="62" applyFont="1" applyFill="1" applyBorder="1" applyAlignment="1">
      <alignment horizontal="center"/>
    </xf>
    <xf numFmtId="0" fontId="76" fillId="33" borderId="54" xfId="62" applyFont="1" applyFill="1" applyBorder="1" applyAlignment="1">
      <alignment horizontal="left" vertical="center" wrapText="1"/>
    </xf>
    <xf numFmtId="0" fontId="30" fillId="0" borderId="54" xfId="62" applyFont="1" applyFill="1" applyBorder="1" applyAlignment="1">
      <alignment horizontal="left" vertical="center" wrapText="1"/>
    </xf>
    <xf numFmtId="0" fontId="58" fillId="0" borderId="54" xfId="1" applyFont="1" applyBorder="1" applyAlignment="1">
      <alignment horizontal="center" vertical="center" wrapText="1"/>
    </xf>
    <xf numFmtId="0" fontId="29" fillId="0" borderId="54" xfId="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58" fillId="0" borderId="54" xfId="1" applyFont="1" applyBorder="1" applyAlignment="1">
      <alignment horizontal="center" vertical="center" wrapText="1"/>
    </xf>
    <xf numFmtId="0" fontId="29" fillId="0" borderId="0" xfId="0" applyFont="1" applyFill="1" applyAlignment="1">
      <alignment horizontal="center" vertical="center" wrapText="1"/>
    </xf>
    <xf numFmtId="0" fontId="58" fillId="0" borderId="56" xfId="1" applyFont="1" applyBorder="1" applyAlignment="1">
      <alignment horizontal="center" vertical="center" wrapText="1"/>
    </xf>
    <xf numFmtId="0" fontId="58" fillId="0" borderId="57" xfId="1" applyFont="1" applyBorder="1" applyAlignment="1">
      <alignment horizontal="center" vertical="center" wrapText="1"/>
    </xf>
    <xf numFmtId="0" fontId="58" fillId="0" borderId="55" xfId="1" applyFont="1" applyBorder="1" applyAlignment="1">
      <alignment horizontal="center" vertical="center" wrapText="1"/>
    </xf>
    <xf numFmtId="0" fontId="40" fillId="0" borderId="0" xfId="67" applyFont="1" applyFill="1" applyAlignment="1">
      <alignment horizontal="left" vertical="center" wrapText="1"/>
    </xf>
    <xf numFmtId="0" fontId="30" fillId="0" borderId="56" xfId="62" applyBorder="1" applyAlignment="1">
      <alignment horizontal="center" vertical="center" wrapText="1"/>
    </xf>
    <xf numFmtId="0" fontId="30" fillId="0" borderId="55" xfId="62" applyBorder="1" applyAlignment="1">
      <alignment horizontal="center" vertical="center" wrapText="1"/>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0" fontId="49" fillId="0" borderId="56" xfId="67" applyFont="1" applyFill="1" applyBorder="1" applyAlignment="1">
      <alignment horizontal="center" vertical="center" wrapText="1"/>
    </xf>
    <xf numFmtId="0" fontId="49" fillId="0" borderId="57" xfId="67" applyFont="1" applyFill="1" applyBorder="1" applyAlignment="1">
      <alignment horizontal="center" vertical="center" wrapText="1"/>
    </xf>
    <xf numFmtId="0" fontId="49" fillId="0" borderId="55" xfId="67" applyFont="1" applyFill="1" applyBorder="1" applyAlignment="1">
      <alignment horizontal="center" vertical="center" wrapText="1"/>
    </xf>
    <xf numFmtId="4" fontId="49" fillId="0" borderId="56" xfId="67" applyNumberFormat="1" applyFont="1" applyFill="1" applyBorder="1" applyAlignment="1">
      <alignment horizontal="center" vertical="center"/>
    </xf>
    <xf numFmtId="4" fontId="49" fillId="0" borderId="55" xfId="67" applyNumberFormat="1" applyFont="1" applyFill="1" applyBorder="1" applyAlignment="1">
      <alignment horizontal="center" vertical="center"/>
    </xf>
    <xf numFmtId="3" fontId="49" fillId="0" borderId="56"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7" xfId="67" applyFont="1" applyFill="1" applyBorder="1" applyAlignment="1">
      <alignment horizontal="center" vertical="center"/>
    </xf>
    <xf numFmtId="0" fontId="49" fillId="0" borderId="55"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67" fillId="0" borderId="0" xfId="1" applyFont="1" applyAlignment="1">
      <alignment horizontal="center" vertical="center"/>
    </xf>
    <xf numFmtId="0" fontId="53" fillId="0" borderId="0" xfId="1" applyFont="1" applyAlignment="1">
      <alignment horizontal="center" vertical="center"/>
    </xf>
    <xf numFmtId="176" fontId="67" fillId="0" borderId="0" xfId="1" applyNumberFormat="1" applyFont="1" applyAlignment="1">
      <alignment horizontal="center" vertical="center" wrapText="1"/>
    </xf>
    <xf numFmtId="0" fontId="67"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55"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4" xfId="2" applyFont="1" applyFill="1" applyBorder="1" applyAlignment="1">
      <alignment horizontal="center" vertical="center" wrapText="1"/>
    </xf>
    <xf numFmtId="0" fontId="29" fillId="0" borderId="56" xfId="52" applyFont="1" applyFill="1" applyBorder="1" applyAlignment="1">
      <alignment horizontal="center" vertical="center"/>
    </xf>
    <xf numFmtId="0" fontId="29" fillId="0" borderId="5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4" xfId="2" applyFont="1" applyBorder="1" applyAlignment="1">
      <alignment horizontal="center" vertical="center"/>
    </xf>
    <xf numFmtId="0" fontId="58" fillId="0" borderId="6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54"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6765423858930557"/>
          <c:h val="0.7550750546685701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-16221661.789067561</c:v>
                </c:pt>
                <c:pt idx="1">
                  <c:v>-4256293.7437985148</c:v>
                </c:pt>
                <c:pt idx="2">
                  <c:v>1541748.8466645062</c:v>
                </c:pt>
                <c:pt idx="3">
                  <c:v>2976166.7654792289</c:v>
                </c:pt>
                <c:pt idx="4">
                  <c:v>4217500.513249442</c:v>
                </c:pt>
                <c:pt idx="5">
                  <c:v>3688211.3964563501</c:v>
                </c:pt>
                <c:pt idx="6">
                  <c:v>3073659.9552811547</c:v>
                </c:pt>
                <c:pt idx="7">
                  <c:v>3030788.9164686645</c:v>
                </c:pt>
                <c:pt idx="8">
                  <c:v>2823004.9941075686</c:v>
                </c:pt>
                <c:pt idx="9">
                  <c:v>2629598.3939878857</c:v>
                </c:pt>
                <c:pt idx="10">
                  <c:v>2449560.4057475538</c:v>
                </c:pt>
              </c:numCache>
            </c:numRef>
          </c:val>
          <c:smooth val="0"/>
          <c:extLst>
            <c:ext xmlns:c16="http://schemas.microsoft.com/office/drawing/2014/chart" uri="{C3380CC4-5D6E-409C-BE32-E72D297353CC}">
              <c16:uniqueId val="{00000001-11A3-4156-8847-357DA70CD0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-16221661.789067561</c:v>
                </c:pt>
                <c:pt idx="1">
                  <c:v>-20477955.532866076</c:v>
                </c:pt>
                <c:pt idx="2">
                  <c:v>-18936206.686201569</c:v>
                </c:pt>
                <c:pt idx="3">
                  <c:v>-15960039.920722339</c:v>
                </c:pt>
                <c:pt idx="4">
                  <c:v>-11742539.407472897</c:v>
                </c:pt>
                <c:pt idx="5">
                  <c:v>-8054328.0110165477</c:v>
                </c:pt>
                <c:pt idx="6">
                  <c:v>-4980668.0557353925</c:v>
                </c:pt>
                <c:pt idx="7">
                  <c:v>-1949879.139266728</c:v>
                </c:pt>
                <c:pt idx="8">
                  <c:v>873125.85484084068</c:v>
                </c:pt>
                <c:pt idx="9">
                  <c:v>3502724.2488287264</c:v>
                </c:pt>
                <c:pt idx="10">
                  <c:v>5952284.6545762802</c:v>
                </c:pt>
              </c:numCache>
            </c:numRef>
          </c:val>
          <c:smooth val="0"/>
          <c:extLst>
            <c:ext xmlns:c16="http://schemas.microsoft.com/office/drawing/2014/chart" uri="{C3380CC4-5D6E-409C-BE32-E72D297353CC}">
              <c16:uniqueId val="{00000002-11A3-4156-8847-357DA70CD033}"/>
            </c:ext>
          </c:extLst>
        </c:ser>
        <c:dLbls>
          <c:showLegendKey val="0"/>
          <c:showVal val="0"/>
          <c:showCatName val="0"/>
          <c:showSerName val="0"/>
          <c:showPercent val="0"/>
          <c:showBubbleSize val="0"/>
        </c:dLbls>
        <c:smooth val="0"/>
        <c:axId val="741930128"/>
        <c:axId val="741931304"/>
      </c:lineChart>
      <c:catAx>
        <c:axId val="741930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931304"/>
        <c:crosses val="autoZero"/>
        <c:auto val="1"/>
        <c:lblAlgn val="ctr"/>
        <c:lblOffset val="100"/>
        <c:noMultiLvlLbl val="0"/>
      </c:catAx>
      <c:valAx>
        <c:axId val="7419313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930128"/>
        <c:crosses val="autoZero"/>
        <c:crossBetween val="between"/>
      </c:valAx>
    </c:plotArea>
    <c:legend>
      <c:legendPos val="r"/>
      <c:layout>
        <c:manualLayout>
          <c:xMode val="edge"/>
          <c:yMode val="edge"/>
          <c:x val="6.0642818206361464E-2"/>
          <c:y val="0.86799776337950207"/>
          <c:w val="0.91425195280276161"/>
          <c:h val="0.1320022366204979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23814</xdr:colOff>
      <xdr:row>32</xdr:row>
      <xdr:rowOff>11907</xdr:rowOff>
    </xdr:from>
    <xdr:to>
      <xdr:col>7</xdr:col>
      <xdr:colOff>892970</xdr:colOff>
      <xdr:row>45</xdr:row>
      <xdr:rowOff>23337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0"/>
      <c r="F4" s="72"/>
      <c r="G4" s="72"/>
      <c r="H4" s="1"/>
    </row>
    <row r="5" spans="1:22" s="2" customFormat="1" ht="15.75" x14ac:dyDescent="0.25">
      <c r="A5" s="397" t="s">
        <v>640</v>
      </c>
      <c r="B5" s="397"/>
      <c r="C5" s="397"/>
      <c r="D5" s="49"/>
      <c r="E5" s="49"/>
      <c r="F5" s="49"/>
      <c r="G5" s="49"/>
      <c r="H5" s="49"/>
      <c r="I5" s="49"/>
      <c r="J5" s="49"/>
    </row>
    <row r="6" spans="1:22" s="2" customFormat="1" ht="18.75" x14ac:dyDescent="0.3">
      <c r="A6" s="73"/>
      <c r="C6" s="170"/>
      <c r="F6" s="72"/>
      <c r="G6" s="72"/>
      <c r="H6" s="1"/>
    </row>
    <row r="7" spans="1:22" s="2" customFormat="1" ht="18.75" x14ac:dyDescent="0.2">
      <c r="A7" s="404" t="s">
        <v>7</v>
      </c>
      <c r="B7" s="404"/>
      <c r="C7" s="40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1"/>
      <c r="D8" s="75"/>
      <c r="E8" s="75"/>
      <c r="F8" s="75"/>
      <c r="G8" s="75"/>
      <c r="H8" s="75"/>
      <c r="I8" s="74"/>
      <c r="J8" s="74"/>
      <c r="K8" s="74"/>
      <c r="L8" s="74"/>
      <c r="M8" s="74"/>
      <c r="N8" s="74"/>
      <c r="O8" s="74"/>
      <c r="P8" s="74"/>
      <c r="Q8" s="74"/>
      <c r="R8" s="74"/>
      <c r="S8" s="74"/>
      <c r="T8" s="74"/>
      <c r="U8" s="74"/>
      <c r="V8" s="74"/>
    </row>
    <row r="9" spans="1:22" s="2" customFormat="1" ht="18.75" x14ac:dyDescent="0.2">
      <c r="A9" s="405" t="s">
        <v>620</v>
      </c>
      <c r="B9" s="405"/>
      <c r="C9" s="405"/>
      <c r="D9" s="76"/>
      <c r="E9" s="76"/>
      <c r="F9" s="76"/>
      <c r="G9" s="76"/>
      <c r="H9" s="76"/>
      <c r="I9" s="74"/>
      <c r="J9" s="74"/>
      <c r="K9" s="74"/>
      <c r="L9" s="74"/>
      <c r="M9" s="74"/>
      <c r="N9" s="74"/>
      <c r="O9" s="74"/>
      <c r="P9" s="74"/>
      <c r="Q9" s="74"/>
      <c r="R9" s="74"/>
      <c r="S9" s="74"/>
      <c r="T9" s="74"/>
      <c r="U9" s="74"/>
      <c r="V9" s="74"/>
    </row>
    <row r="10" spans="1:22" s="2" customFormat="1" ht="18.75" x14ac:dyDescent="0.2">
      <c r="A10" s="401" t="s">
        <v>6</v>
      </c>
      <c r="B10" s="401"/>
      <c r="C10" s="40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03" t="s">
        <v>594</v>
      </c>
      <c r="B12" s="403"/>
      <c r="C12" s="40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01" t="s">
        <v>5</v>
      </c>
      <c r="B13" s="401"/>
      <c r="C13" s="40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02" t="s">
        <v>595</v>
      </c>
      <c r="B15" s="402"/>
      <c r="C15" s="40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01" t="s">
        <v>4</v>
      </c>
      <c r="B16" s="401"/>
      <c r="C16" s="40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3"/>
      <c r="D17" s="81"/>
      <c r="E17" s="81"/>
      <c r="F17" s="81"/>
      <c r="G17" s="81"/>
      <c r="H17" s="81"/>
      <c r="I17" s="81"/>
      <c r="J17" s="81"/>
      <c r="K17" s="81"/>
      <c r="L17" s="81"/>
      <c r="M17" s="81"/>
      <c r="N17" s="81"/>
      <c r="O17" s="81"/>
      <c r="P17" s="81"/>
      <c r="Q17" s="81"/>
      <c r="R17" s="81"/>
      <c r="S17" s="81"/>
    </row>
    <row r="18" spans="1:22" s="80" customFormat="1" ht="15" customHeight="1" x14ac:dyDescent="0.2">
      <c r="A18" s="402" t="s">
        <v>374</v>
      </c>
      <c r="B18" s="403"/>
      <c r="C18" s="40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78" t="s">
        <v>465</v>
      </c>
      <c r="D22" s="86"/>
      <c r="E22" s="86"/>
      <c r="F22" s="86"/>
      <c r="G22" s="86"/>
      <c r="H22" s="86"/>
      <c r="I22" s="87"/>
      <c r="J22" s="87"/>
      <c r="K22" s="87"/>
      <c r="L22" s="87"/>
      <c r="M22" s="87"/>
      <c r="N22" s="87"/>
      <c r="O22" s="87"/>
      <c r="P22" s="87"/>
      <c r="Q22" s="87"/>
      <c r="R22" s="87"/>
      <c r="S22" s="87"/>
      <c r="T22" s="88"/>
      <c r="U22" s="88"/>
      <c r="V22" s="88"/>
    </row>
    <row r="23" spans="1:22" s="80" customFormat="1" ht="78.75" x14ac:dyDescent="0.2">
      <c r="A23" s="89" t="s">
        <v>61</v>
      </c>
      <c r="B23" s="91" t="s">
        <v>464</v>
      </c>
      <c r="C23" s="178" t="s">
        <v>466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398"/>
      <c r="B24" s="399"/>
      <c r="C24" s="40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467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388</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5" t="s">
        <v>596</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526</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527</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526</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398"/>
      <c r="B39" s="399"/>
      <c r="C39" s="400"/>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79" t="str">
        <f>CONCATENATE("∆P10тп_тр=",'3.1. паспорт Техсостояние ПС'!P26," МВА; ∆L10тп_лэп=",('3.2 паспорт Техсостояние ЛЭП'!R25+'3.2 паспорт Техсостояние ЛЭП'!R26)," км; ∆L0,4тп_лэп=",('3.2 паспорт Техсостояние ЛЭП'!R27+'3.2 паспорт Техсостояние ЛЭП'!R28), " км; 
SТПпотр=",'2. паспорт  ТП'!H23," МВт; Nсд_тпр=",'2. паспорт  ТП'!A22," договор; Фтз=",ROUND('6.2. Паспорт фин осв ввод'!C24,2)," млн.руб.")</f>
        <v>∆P10тп_тр=0,5 МВА; ∆L10тп_лэп=0,65 км; ∆L0,4тп_лэп=0,3 км; 
SТПпотр=0,199 МВт; Nсд_тпр=1 договор; Фтз=36,58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79" t="s">
        <v>528</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79" t="s">
        <v>528</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467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467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525</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398"/>
      <c r="B47" s="399"/>
      <c r="C47" s="40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ввод'!AC24,2)," млн рублей")</f>
        <v>30,26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ввод'!AC30,2)," млн рублей")</f>
        <v>0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27" width="9" style="17" customWidth="1"/>
    <col min="28" max="28" width="13.140625" style="16" customWidth="1"/>
    <col min="29" max="29" width="24.85546875" style="16" customWidth="1"/>
    <col min="30" max="30" width="11" style="16" bestFit="1" customWidth="1"/>
    <col min="31"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397" t="str">
        <f>'1. паспорт местоположение'!A5:C5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17"/>
      <c r="B5" s="17"/>
      <c r="C5" s="17"/>
      <c r="D5" s="17"/>
      <c r="E5" s="17"/>
      <c r="F5" s="17"/>
      <c r="AC5" s="1"/>
    </row>
    <row r="6" spans="1:29"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09" t="str">
        <f>'1. паспорт местоположение'!A9:C9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09" t="str">
        <f>'1. паспорт местоположение'!A12:C12</f>
        <v>N_21-1806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06"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17"/>
      <c r="AB17" s="17"/>
    </row>
    <row r="18" spans="1:32" x14ac:dyDescent="0.25">
      <c r="A18" s="489" t="s">
        <v>359</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17"/>
      <c r="B19" s="17"/>
      <c r="C19" s="17"/>
      <c r="D19" s="17"/>
      <c r="E19" s="17"/>
      <c r="F19" s="17"/>
      <c r="AB19" s="17"/>
    </row>
    <row r="20" spans="1:32" ht="33" customHeight="1" x14ac:dyDescent="0.25">
      <c r="A20" s="490" t="s">
        <v>181</v>
      </c>
      <c r="B20" s="490" t="s">
        <v>180</v>
      </c>
      <c r="C20" s="485" t="s">
        <v>179</v>
      </c>
      <c r="D20" s="485"/>
      <c r="E20" s="493" t="s">
        <v>178</v>
      </c>
      <c r="F20" s="493"/>
      <c r="G20" s="494" t="s">
        <v>633</v>
      </c>
      <c r="H20" s="486" t="s">
        <v>583</v>
      </c>
      <c r="I20" s="487"/>
      <c r="J20" s="487"/>
      <c r="K20" s="487"/>
      <c r="L20" s="486" t="s">
        <v>584</v>
      </c>
      <c r="M20" s="487"/>
      <c r="N20" s="487"/>
      <c r="O20" s="487"/>
      <c r="P20" s="486" t="s">
        <v>585</v>
      </c>
      <c r="Q20" s="487"/>
      <c r="R20" s="487"/>
      <c r="S20" s="487"/>
      <c r="T20" s="486" t="s">
        <v>586</v>
      </c>
      <c r="U20" s="487"/>
      <c r="V20" s="487"/>
      <c r="W20" s="487"/>
      <c r="X20" s="486" t="s">
        <v>587</v>
      </c>
      <c r="Y20" s="487"/>
      <c r="Z20" s="487"/>
      <c r="AA20" s="487"/>
      <c r="AB20" s="497" t="s">
        <v>177</v>
      </c>
      <c r="AC20" s="497"/>
      <c r="AD20" s="24"/>
      <c r="AE20" s="24"/>
      <c r="AF20" s="24"/>
    </row>
    <row r="21" spans="1:32" ht="99.75" customHeight="1" x14ac:dyDescent="0.25">
      <c r="A21" s="491"/>
      <c r="B21" s="491"/>
      <c r="C21" s="485"/>
      <c r="D21" s="485"/>
      <c r="E21" s="493"/>
      <c r="F21" s="493"/>
      <c r="G21" s="495"/>
      <c r="H21" s="485" t="s">
        <v>2</v>
      </c>
      <c r="I21" s="485"/>
      <c r="J21" s="485" t="s">
        <v>9</v>
      </c>
      <c r="K21" s="485"/>
      <c r="L21" s="485" t="s">
        <v>2</v>
      </c>
      <c r="M21" s="485"/>
      <c r="N21" s="485" t="s">
        <v>9</v>
      </c>
      <c r="O21" s="485"/>
      <c r="P21" s="485" t="s">
        <v>2</v>
      </c>
      <c r="Q21" s="485"/>
      <c r="R21" s="485" t="s">
        <v>9</v>
      </c>
      <c r="S21" s="485"/>
      <c r="T21" s="485" t="s">
        <v>2</v>
      </c>
      <c r="U21" s="485"/>
      <c r="V21" s="485" t="s">
        <v>9</v>
      </c>
      <c r="W21" s="485"/>
      <c r="X21" s="485" t="s">
        <v>2</v>
      </c>
      <c r="Y21" s="485"/>
      <c r="Z21" s="485" t="s">
        <v>9</v>
      </c>
      <c r="AA21" s="485"/>
      <c r="AB21" s="497"/>
      <c r="AC21" s="497"/>
    </row>
    <row r="22" spans="1:32" ht="89.25" customHeight="1" x14ac:dyDescent="0.25">
      <c r="A22" s="492"/>
      <c r="B22" s="492"/>
      <c r="C22" s="373" t="s">
        <v>2</v>
      </c>
      <c r="D22" s="373" t="s">
        <v>176</v>
      </c>
      <c r="E22" s="374" t="s">
        <v>588</v>
      </c>
      <c r="F22" s="374" t="s">
        <v>641</v>
      </c>
      <c r="G22" s="496"/>
      <c r="H22" s="375" t="s">
        <v>340</v>
      </c>
      <c r="I22" s="375" t="s">
        <v>341</v>
      </c>
      <c r="J22" s="375" t="s">
        <v>340</v>
      </c>
      <c r="K22" s="375" t="s">
        <v>341</v>
      </c>
      <c r="L22" s="375" t="s">
        <v>340</v>
      </c>
      <c r="M22" s="375" t="s">
        <v>341</v>
      </c>
      <c r="N22" s="375" t="s">
        <v>340</v>
      </c>
      <c r="O22" s="375" t="s">
        <v>341</v>
      </c>
      <c r="P22" s="375" t="s">
        <v>340</v>
      </c>
      <c r="Q22" s="375" t="s">
        <v>341</v>
      </c>
      <c r="R22" s="375" t="s">
        <v>340</v>
      </c>
      <c r="S22" s="375" t="s">
        <v>341</v>
      </c>
      <c r="T22" s="375" t="s">
        <v>340</v>
      </c>
      <c r="U22" s="375" t="s">
        <v>341</v>
      </c>
      <c r="V22" s="375" t="s">
        <v>340</v>
      </c>
      <c r="W22" s="375" t="s">
        <v>341</v>
      </c>
      <c r="X22" s="375" t="s">
        <v>340</v>
      </c>
      <c r="Y22" s="375" t="s">
        <v>341</v>
      </c>
      <c r="Z22" s="375" t="s">
        <v>340</v>
      </c>
      <c r="AA22" s="375" t="s">
        <v>341</v>
      </c>
      <c r="AB22" s="373" t="s">
        <v>2</v>
      </c>
      <c r="AC22" s="373" t="s">
        <v>9</v>
      </c>
    </row>
    <row r="23" spans="1:32" ht="19.5" customHeight="1" x14ac:dyDescent="0.25">
      <c r="A23" s="188">
        <v>1</v>
      </c>
      <c r="B23" s="188">
        <v>2</v>
      </c>
      <c r="C23" s="386">
        <v>3</v>
      </c>
      <c r="D23" s="386">
        <v>4</v>
      </c>
      <c r="E23" s="386">
        <v>5</v>
      </c>
      <c r="F23" s="396">
        <v>6</v>
      </c>
      <c r="G23" s="386">
        <v>7</v>
      </c>
      <c r="H23" s="386">
        <v>8</v>
      </c>
      <c r="I23" s="386">
        <v>9</v>
      </c>
      <c r="J23" s="386">
        <v>10</v>
      </c>
      <c r="K23" s="386">
        <v>11</v>
      </c>
      <c r="L23" s="386">
        <v>12</v>
      </c>
      <c r="M23" s="386">
        <v>13</v>
      </c>
      <c r="N23" s="386">
        <v>14</v>
      </c>
      <c r="O23" s="386">
        <v>15</v>
      </c>
      <c r="P23" s="386">
        <v>16</v>
      </c>
      <c r="Q23" s="386">
        <v>17</v>
      </c>
      <c r="R23" s="386">
        <v>18</v>
      </c>
      <c r="S23" s="386">
        <v>19</v>
      </c>
      <c r="T23" s="386">
        <v>20</v>
      </c>
      <c r="U23" s="386">
        <v>21</v>
      </c>
      <c r="V23" s="386">
        <v>22</v>
      </c>
      <c r="W23" s="386">
        <v>23</v>
      </c>
      <c r="X23" s="386">
        <v>24</v>
      </c>
      <c r="Y23" s="386">
        <v>25</v>
      </c>
      <c r="Z23" s="386">
        <v>26</v>
      </c>
      <c r="AA23" s="386">
        <v>27</v>
      </c>
      <c r="AB23" s="386">
        <v>28</v>
      </c>
      <c r="AC23" s="386">
        <v>29</v>
      </c>
    </row>
    <row r="24" spans="1:32" ht="47.25" customHeight="1" x14ac:dyDescent="0.25">
      <c r="A24" s="189">
        <v>1</v>
      </c>
      <c r="B24" s="190" t="s">
        <v>175</v>
      </c>
      <c r="C24" s="376">
        <f>SUM(C25:C29)</f>
        <v>36.58172845</v>
      </c>
      <c r="D24" s="376">
        <f t="shared" ref="D24" si="0">SUM(D25:D29)</f>
        <v>0</v>
      </c>
      <c r="E24" s="376">
        <f t="shared" ref="E24:AA24" si="1">SUM(E25:E29)</f>
        <v>36.58172845</v>
      </c>
      <c r="F24" s="376">
        <f t="shared" si="1"/>
        <v>35.29924381</v>
      </c>
      <c r="G24" s="376">
        <f t="shared" si="1"/>
        <v>1.2824846399999998</v>
      </c>
      <c r="H24" s="376">
        <f t="shared" si="1"/>
        <v>35.29924381</v>
      </c>
      <c r="I24" s="376">
        <f t="shared" ref="I24:J24" si="2">SUM(I25:I29)</f>
        <v>0</v>
      </c>
      <c r="J24" s="376">
        <f t="shared" si="2"/>
        <v>0</v>
      </c>
      <c r="K24" s="376">
        <f t="shared" si="1"/>
        <v>0</v>
      </c>
      <c r="L24" s="376">
        <f t="shared" si="1"/>
        <v>0</v>
      </c>
      <c r="M24" s="376">
        <f t="shared" si="1"/>
        <v>0</v>
      </c>
      <c r="N24" s="376">
        <f t="shared" si="1"/>
        <v>30.2563</v>
      </c>
      <c r="O24" s="376">
        <f t="shared" si="1"/>
        <v>30.2563</v>
      </c>
      <c r="P24" s="376">
        <f t="shared" si="1"/>
        <v>0</v>
      </c>
      <c r="Q24" s="376">
        <f t="shared" si="1"/>
        <v>0</v>
      </c>
      <c r="R24" s="376">
        <f t="shared" si="1"/>
        <v>0</v>
      </c>
      <c r="S24" s="376">
        <f t="shared" si="1"/>
        <v>0</v>
      </c>
      <c r="T24" s="376">
        <f t="shared" si="1"/>
        <v>0</v>
      </c>
      <c r="U24" s="376">
        <f t="shared" si="1"/>
        <v>0</v>
      </c>
      <c r="V24" s="376">
        <f t="shared" si="1"/>
        <v>0</v>
      </c>
      <c r="W24" s="376">
        <f t="shared" si="1"/>
        <v>0</v>
      </c>
      <c r="X24" s="376">
        <f t="shared" si="1"/>
        <v>0</v>
      </c>
      <c r="Y24" s="376">
        <f t="shared" si="1"/>
        <v>0</v>
      </c>
      <c r="Z24" s="376">
        <f t="shared" si="1"/>
        <v>0</v>
      </c>
      <c r="AA24" s="376">
        <f t="shared" si="1"/>
        <v>0</v>
      </c>
      <c r="AB24" s="376">
        <f>H24+L24+P24+T24+X24</f>
        <v>35.29924381</v>
      </c>
      <c r="AC24" s="372">
        <f>J24+N24+R24+V24+Z24</f>
        <v>30.2563</v>
      </c>
    </row>
    <row r="25" spans="1:32" ht="24" customHeight="1" x14ac:dyDescent="0.25">
      <c r="A25" s="191" t="s">
        <v>174</v>
      </c>
      <c r="B25" s="192" t="s">
        <v>173</v>
      </c>
      <c r="C25" s="376">
        <v>0</v>
      </c>
      <c r="D25" s="376">
        <v>0</v>
      </c>
      <c r="E25" s="376">
        <f>C25</f>
        <v>0</v>
      </c>
      <c r="F25" s="376">
        <f>E25-G25-J25</f>
        <v>0</v>
      </c>
      <c r="G25" s="377">
        <v>0</v>
      </c>
      <c r="H25" s="377">
        <v>0</v>
      </c>
      <c r="I25" s="377">
        <v>0</v>
      </c>
      <c r="J25" s="377">
        <v>0</v>
      </c>
      <c r="K25" s="377">
        <v>0</v>
      </c>
      <c r="L25" s="377">
        <v>0</v>
      </c>
      <c r="M25" s="377">
        <v>0</v>
      </c>
      <c r="N25" s="377">
        <v>0</v>
      </c>
      <c r="O25" s="377">
        <v>0</v>
      </c>
      <c r="P25" s="377">
        <v>0</v>
      </c>
      <c r="Q25" s="377">
        <v>0</v>
      </c>
      <c r="R25" s="377">
        <v>0</v>
      </c>
      <c r="S25" s="377">
        <v>0</v>
      </c>
      <c r="T25" s="377">
        <v>0</v>
      </c>
      <c r="U25" s="377">
        <v>0</v>
      </c>
      <c r="V25" s="377">
        <v>0</v>
      </c>
      <c r="W25" s="377">
        <v>0</v>
      </c>
      <c r="X25" s="377">
        <v>0</v>
      </c>
      <c r="Y25" s="377">
        <v>0</v>
      </c>
      <c r="Z25" s="377">
        <v>0</v>
      </c>
      <c r="AA25" s="377">
        <v>0</v>
      </c>
      <c r="AB25" s="376">
        <f t="shared" ref="AB25:AB64" si="3">H25+L25+P25+T25+X25</f>
        <v>0</v>
      </c>
      <c r="AC25" s="372">
        <f t="shared" ref="AC25:AC64" si="4">J25+N25+R25+V25+Z25</f>
        <v>0</v>
      </c>
    </row>
    <row r="26" spans="1:32" x14ac:dyDescent="0.25">
      <c r="A26" s="191" t="s">
        <v>172</v>
      </c>
      <c r="B26" s="192" t="s">
        <v>171</v>
      </c>
      <c r="C26" s="376">
        <v>0</v>
      </c>
      <c r="D26" s="376">
        <v>0</v>
      </c>
      <c r="E26" s="376">
        <f>C26</f>
        <v>0</v>
      </c>
      <c r="F26" s="376">
        <f t="shared" ref="F26:F64" si="5">E26-G26-J26</f>
        <v>0</v>
      </c>
      <c r="G26" s="377">
        <v>0</v>
      </c>
      <c r="H26" s="377">
        <v>0</v>
      </c>
      <c r="I26" s="377">
        <v>0</v>
      </c>
      <c r="J26" s="377">
        <v>0</v>
      </c>
      <c r="K26" s="377">
        <v>0</v>
      </c>
      <c r="L26" s="377">
        <v>0</v>
      </c>
      <c r="M26" s="377">
        <v>0</v>
      </c>
      <c r="N26" s="377">
        <v>0</v>
      </c>
      <c r="O26" s="377">
        <v>0</v>
      </c>
      <c r="P26" s="377">
        <v>0</v>
      </c>
      <c r="Q26" s="377">
        <v>0</v>
      </c>
      <c r="R26" s="377">
        <v>0</v>
      </c>
      <c r="S26" s="377">
        <v>0</v>
      </c>
      <c r="T26" s="377">
        <v>0</v>
      </c>
      <c r="U26" s="377">
        <v>0</v>
      </c>
      <c r="V26" s="377">
        <v>0</v>
      </c>
      <c r="W26" s="377">
        <v>0</v>
      </c>
      <c r="X26" s="377">
        <v>0</v>
      </c>
      <c r="Y26" s="377">
        <v>0</v>
      </c>
      <c r="Z26" s="377">
        <v>0</v>
      </c>
      <c r="AA26" s="377">
        <v>0</v>
      </c>
      <c r="AB26" s="376">
        <f t="shared" si="3"/>
        <v>0</v>
      </c>
      <c r="AC26" s="372">
        <f t="shared" si="4"/>
        <v>0</v>
      </c>
    </row>
    <row r="27" spans="1:32" ht="31.5" x14ac:dyDescent="0.25">
      <c r="A27" s="191" t="s">
        <v>170</v>
      </c>
      <c r="B27" s="192" t="s">
        <v>321</v>
      </c>
      <c r="C27" s="376">
        <v>0</v>
      </c>
      <c r="D27" s="376">
        <v>0</v>
      </c>
      <c r="E27" s="376">
        <v>0</v>
      </c>
      <c r="F27" s="376">
        <f t="shared" si="5"/>
        <v>0</v>
      </c>
      <c r="G27" s="377">
        <v>0</v>
      </c>
      <c r="H27" s="377">
        <v>0</v>
      </c>
      <c r="I27" s="377">
        <v>0</v>
      </c>
      <c r="J27" s="377">
        <v>0</v>
      </c>
      <c r="K27" s="377">
        <v>0</v>
      </c>
      <c r="L27" s="377">
        <v>0</v>
      </c>
      <c r="M27" s="377">
        <v>0</v>
      </c>
      <c r="N27" s="377">
        <v>0</v>
      </c>
      <c r="O27" s="377">
        <v>0</v>
      </c>
      <c r="P27" s="377">
        <v>0</v>
      </c>
      <c r="Q27" s="377">
        <v>0</v>
      </c>
      <c r="R27" s="377">
        <v>0</v>
      </c>
      <c r="S27" s="377">
        <v>0</v>
      </c>
      <c r="T27" s="377">
        <v>0</v>
      </c>
      <c r="U27" s="377">
        <v>0</v>
      </c>
      <c r="V27" s="377">
        <v>0</v>
      </c>
      <c r="W27" s="377">
        <v>0</v>
      </c>
      <c r="X27" s="377">
        <v>0</v>
      </c>
      <c r="Y27" s="377">
        <v>0</v>
      </c>
      <c r="Z27" s="377">
        <v>0</v>
      </c>
      <c r="AA27" s="377">
        <v>0</v>
      </c>
      <c r="AB27" s="376">
        <f t="shared" si="3"/>
        <v>0</v>
      </c>
      <c r="AC27" s="372">
        <f t="shared" si="4"/>
        <v>0</v>
      </c>
    </row>
    <row r="28" spans="1:32" x14ac:dyDescent="0.25">
      <c r="A28" s="191" t="s">
        <v>169</v>
      </c>
      <c r="B28" s="192" t="s">
        <v>397</v>
      </c>
      <c r="C28" s="376">
        <v>36.58172845</v>
      </c>
      <c r="D28" s="376">
        <v>0</v>
      </c>
      <c r="E28" s="376">
        <f>C28</f>
        <v>36.58172845</v>
      </c>
      <c r="F28" s="376">
        <f t="shared" si="5"/>
        <v>35.29924381</v>
      </c>
      <c r="G28" s="377">
        <v>1.2824846399999998</v>
      </c>
      <c r="H28" s="377">
        <v>35.29924381</v>
      </c>
      <c r="I28" s="377">
        <v>0</v>
      </c>
      <c r="J28" s="377">
        <v>0</v>
      </c>
      <c r="K28" s="377">
        <v>0</v>
      </c>
      <c r="L28" s="377">
        <v>0</v>
      </c>
      <c r="M28" s="377">
        <v>0</v>
      </c>
      <c r="N28" s="377">
        <v>30.2563</v>
      </c>
      <c r="O28" s="377">
        <v>30.2563</v>
      </c>
      <c r="P28" s="377">
        <v>0</v>
      </c>
      <c r="Q28" s="377">
        <v>0</v>
      </c>
      <c r="R28" s="377">
        <v>0</v>
      </c>
      <c r="S28" s="377">
        <v>0</v>
      </c>
      <c r="T28" s="377">
        <v>0</v>
      </c>
      <c r="U28" s="377">
        <v>0</v>
      </c>
      <c r="V28" s="377">
        <v>0</v>
      </c>
      <c r="W28" s="377">
        <v>0</v>
      </c>
      <c r="X28" s="377">
        <v>0</v>
      </c>
      <c r="Y28" s="377">
        <v>0</v>
      </c>
      <c r="Z28" s="377">
        <v>0</v>
      </c>
      <c r="AA28" s="377">
        <v>0</v>
      </c>
      <c r="AB28" s="376">
        <f t="shared" si="3"/>
        <v>35.29924381</v>
      </c>
      <c r="AC28" s="372">
        <f t="shared" si="4"/>
        <v>30.2563</v>
      </c>
    </row>
    <row r="29" spans="1:32" x14ac:dyDescent="0.25">
      <c r="A29" s="191" t="s">
        <v>168</v>
      </c>
      <c r="B29" s="23" t="s">
        <v>167</v>
      </c>
      <c r="C29" s="376">
        <v>0</v>
      </c>
      <c r="D29" s="376">
        <v>0</v>
      </c>
      <c r="E29" s="376">
        <f>C29</f>
        <v>0</v>
      </c>
      <c r="F29" s="376">
        <f t="shared" si="5"/>
        <v>0</v>
      </c>
      <c r="G29" s="377">
        <v>0</v>
      </c>
      <c r="H29" s="377">
        <v>0</v>
      </c>
      <c r="I29" s="377">
        <v>0</v>
      </c>
      <c r="J29" s="377">
        <v>0</v>
      </c>
      <c r="K29" s="377">
        <v>0</v>
      </c>
      <c r="L29" s="377">
        <v>0</v>
      </c>
      <c r="M29" s="377">
        <v>0</v>
      </c>
      <c r="N29" s="377">
        <v>0</v>
      </c>
      <c r="O29" s="377">
        <v>0</v>
      </c>
      <c r="P29" s="377">
        <v>0</v>
      </c>
      <c r="Q29" s="377">
        <v>0</v>
      </c>
      <c r="R29" s="377">
        <v>0</v>
      </c>
      <c r="S29" s="377">
        <v>0</v>
      </c>
      <c r="T29" s="377">
        <v>0</v>
      </c>
      <c r="U29" s="377">
        <v>0</v>
      </c>
      <c r="V29" s="377">
        <v>0</v>
      </c>
      <c r="W29" s="377">
        <v>0</v>
      </c>
      <c r="X29" s="377">
        <v>0</v>
      </c>
      <c r="Y29" s="377">
        <v>0</v>
      </c>
      <c r="Z29" s="377">
        <v>0</v>
      </c>
      <c r="AA29" s="377">
        <v>0</v>
      </c>
      <c r="AB29" s="376">
        <f t="shared" si="3"/>
        <v>0</v>
      </c>
      <c r="AC29" s="372">
        <f t="shared" si="4"/>
        <v>0</v>
      </c>
    </row>
    <row r="30" spans="1:32" s="54" customFormat="1" ht="47.25" x14ac:dyDescent="0.25">
      <c r="A30" s="189" t="s">
        <v>61</v>
      </c>
      <c r="B30" s="190" t="s">
        <v>166</v>
      </c>
      <c r="C30" s="376">
        <f>SUM(C31:C34)</f>
        <v>30.566137640000001</v>
      </c>
      <c r="D30" s="376">
        <f t="shared" ref="D30" si="6">SUM(D31:D34)</f>
        <v>0</v>
      </c>
      <c r="E30" s="376">
        <f t="shared" ref="E30:K30" si="7">SUM(E31:E34)</f>
        <v>30.566137640000001</v>
      </c>
      <c r="F30" s="376">
        <f t="shared" si="7"/>
        <v>4.2024529900000012</v>
      </c>
      <c r="G30" s="376">
        <f t="shared" si="7"/>
        <v>26.36368465</v>
      </c>
      <c r="H30" s="376">
        <f t="shared" si="7"/>
        <v>4.2024529900000012</v>
      </c>
      <c r="I30" s="376">
        <f t="shared" ref="I30" si="8">SUM(I31:I34)</f>
        <v>0</v>
      </c>
      <c r="J30" s="376">
        <f t="shared" si="7"/>
        <v>0</v>
      </c>
      <c r="K30" s="376">
        <f t="shared" si="7"/>
        <v>0</v>
      </c>
      <c r="L30" s="376">
        <f t="shared" ref="L30:AA30" si="9">SUM(L31:L34)</f>
        <v>0</v>
      </c>
      <c r="M30" s="376">
        <f t="shared" si="9"/>
        <v>0</v>
      </c>
      <c r="N30" s="376">
        <f t="shared" si="9"/>
        <v>0</v>
      </c>
      <c r="O30" s="376">
        <f t="shared" si="9"/>
        <v>0</v>
      </c>
      <c r="P30" s="376">
        <f t="shared" si="9"/>
        <v>0</v>
      </c>
      <c r="Q30" s="376">
        <f t="shared" si="9"/>
        <v>0</v>
      </c>
      <c r="R30" s="376">
        <f t="shared" si="9"/>
        <v>0</v>
      </c>
      <c r="S30" s="376">
        <f t="shared" si="9"/>
        <v>0</v>
      </c>
      <c r="T30" s="376">
        <f t="shared" si="9"/>
        <v>0</v>
      </c>
      <c r="U30" s="376">
        <f t="shared" si="9"/>
        <v>0</v>
      </c>
      <c r="V30" s="376">
        <f t="shared" si="9"/>
        <v>0</v>
      </c>
      <c r="W30" s="376">
        <f t="shared" si="9"/>
        <v>0</v>
      </c>
      <c r="X30" s="376">
        <f t="shared" si="9"/>
        <v>0</v>
      </c>
      <c r="Y30" s="376">
        <f t="shared" si="9"/>
        <v>0</v>
      </c>
      <c r="Z30" s="376">
        <f t="shared" si="9"/>
        <v>0</v>
      </c>
      <c r="AA30" s="376">
        <f t="shared" si="9"/>
        <v>0</v>
      </c>
      <c r="AB30" s="376">
        <f t="shared" si="3"/>
        <v>4.2024529900000012</v>
      </c>
      <c r="AC30" s="372">
        <f t="shared" si="4"/>
        <v>0</v>
      </c>
      <c r="AD30" s="16"/>
    </row>
    <row r="31" spans="1:32" x14ac:dyDescent="0.25">
      <c r="A31" s="189" t="s">
        <v>165</v>
      </c>
      <c r="B31" s="192" t="s">
        <v>164</v>
      </c>
      <c r="C31" s="376">
        <v>0.4104044</v>
      </c>
      <c r="D31" s="376">
        <v>0</v>
      </c>
      <c r="E31" s="376">
        <f t="shared" ref="E31:E64" si="10">C31</f>
        <v>0.4104044</v>
      </c>
      <c r="F31" s="376">
        <f t="shared" si="5"/>
        <v>0</v>
      </c>
      <c r="G31" s="377">
        <v>0.4104044</v>
      </c>
      <c r="H31" s="377">
        <v>0</v>
      </c>
      <c r="I31" s="377">
        <v>0</v>
      </c>
      <c r="J31" s="377">
        <v>0</v>
      </c>
      <c r="K31" s="377">
        <v>0</v>
      </c>
      <c r="L31" s="377">
        <v>0</v>
      </c>
      <c r="M31" s="377">
        <v>0</v>
      </c>
      <c r="N31" s="377">
        <v>0</v>
      </c>
      <c r="O31" s="377">
        <v>0</v>
      </c>
      <c r="P31" s="377">
        <v>0</v>
      </c>
      <c r="Q31" s="377">
        <v>0</v>
      </c>
      <c r="R31" s="377">
        <v>0</v>
      </c>
      <c r="S31" s="377">
        <v>0</v>
      </c>
      <c r="T31" s="377">
        <v>0</v>
      </c>
      <c r="U31" s="377">
        <v>0</v>
      </c>
      <c r="V31" s="377">
        <v>0</v>
      </c>
      <c r="W31" s="377">
        <v>0</v>
      </c>
      <c r="X31" s="377">
        <v>0</v>
      </c>
      <c r="Y31" s="377">
        <v>0</v>
      </c>
      <c r="Z31" s="377">
        <v>0</v>
      </c>
      <c r="AA31" s="377">
        <v>0</v>
      </c>
      <c r="AB31" s="376">
        <f t="shared" si="3"/>
        <v>0</v>
      </c>
      <c r="AC31" s="372">
        <f t="shared" si="4"/>
        <v>0</v>
      </c>
      <c r="AF31" s="303"/>
    </row>
    <row r="32" spans="1:32" ht="31.5" x14ac:dyDescent="0.25">
      <c r="A32" s="189" t="s">
        <v>163</v>
      </c>
      <c r="B32" s="192" t="s">
        <v>162</v>
      </c>
      <c r="C32" s="376">
        <v>7.6325702800000004</v>
      </c>
      <c r="D32" s="376">
        <v>0</v>
      </c>
      <c r="E32" s="376">
        <f t="shared" si="10"/>
        <v>7.6325702800000004</v>
      </c>
      <c r="F32" s="376">
        <f t="shared" si="5"/>
        <v>1.8374027499999999</v>
      </c>
      <c r="G32" s="377">
        <v>5.7951675300000005</v>
      </c>
      <c r="H32" s="377">
        <v>1.8374027499999999</v>
      </c>
      <c r="I32" s="377">
        <v>0</v>
      </c>
      <c r="J32" s="377">
        <v>0</v>
      </c>
      <c r="K32" s="377">
        <v>0</v>
      </c>
      <c r="L32" s="377">
        <v>0</v>
      </c>
      <c r="M32" s="377">
        <v>0</v>
      </c>
      <c r="N32" s="377">
        <v>0</v>
      </c>
      <c r="O32" s="377">
        <v>0</v>
      </c>
      <c r="P32" s="377">
        <v>0</v>
      </c>
      <c r="Q32" s="377">
        <v>0</v>
      </c>
      <c r="R32" s="377">
        <v>0</v>
      </c>
      <c r="S32" s="377">
        <v>0</v>
      </c>
      <c r="T32" s="377">
        <v>0</v>
      </c>
      <c r="U32" s="377">
        <v>0</v>
      </c>
      <c r="V32" s="377">
        <v>0</v>
      </c>
      <c r="W32" s="377">
        <v>0</v>
      </c>
      <c r="X32" s="377">
        <v>0</v>
      </c>
      <c r="Y32" s="377">
        <v>0</v>
      </c>
      <c r="Z32" s="377">
        <v>0</v>
      </c>
      <c r="AA32" s="377">
        <v>0</v>
      </c>
      <c r="AB32" s="376">
        <f t="shared" si="3"/>
        <v>1.8374027499999999</v>
      </c>
      <c r="AC32" s="372">
        <f t="shared" si="4"/>
        <v>0</v>
      </c>
    </row>
    <row r="33" spans="1:30" x14ac:dyDescent="0.25">
      <c r="A33" s="189" t="s">
        <v>161</v>
      </c>
      <c r="B33" s="192" t="s">
        <v>160</v>
      </c>
      <c r="C33" s="376">
        <v>17.347827840000001</v>
      </c>
      <c r="D33" s="376">
        <v>0</v>
      </c>
      <c r="E33" s="376">
        <f t="shared" si="10"/>
        <v>17.347827840000001</v>
      </c>
      <c r="F33" s="376">
        <f t="shared" si="5"/>
        <v>1.1304188100000019</v>
      </c>
      <c r="G33" s="377">
        <v>16.217409029999999</v>
      </c>
      <c r="H33" s="377">
        <v>1.1304188100000019</v>
      </c>
      <c r="I33" s="377">
        <v>0</v>
      </c>
      <c r="J33" s="377">
        <v>0</v>
      </c>
      <c r="K33" s="377">
        <v>0</v>
      </c>
      <c r="L33" s="377">
        <v>0</v>
      </c>
      <c r="M33" s="377">
        <v>0</v>
      </c>
      <c r="N33" s="377">
        <v>0</v>
      </c>
      <c r="O33" s="377">
        <v>0</v>
      </c>
      <c r="P33" s="377">
        <v>0</v>
      </c>
      <c r="Q33" s="377">
        <v>0</v>
      </c>
      <c r="R33" s="377">
        <v>0</v>
      </c>
      <c r="S33" s="377">
        <v>0</v>
      </c>
      <c r="T33" s="377">
        <v>0</v>
      </c>
      <c r="U33" s="377">
        <v>0</v>
      </c>
      <c r="V33" s="377">
        <v>0</v>
      </c>
      <c r="W33" s="377">
        <v>0</v>
      </c>
      <c r="X33" s="377">
        <v>0</v>
      </c>
      <c r="Y33" s="377">
        <v>0</v>
      </c>
      <c r="Z33" s="377">
        <v>0</v>
      </c>
      <c r="AA33" s="377">
        <v>0</v>
      </c>
      <c r="AB33" s="376">
        <f t="shared" si="3"/>
        <v>1.1304188100000019</v>
      </c>
      <c r="AC33" s="372">
        <f t="shared" si="4"/>
        <v>0</v>
      </c>
    </row>
    <row r="34" spans="1:30" x14ac:dyDescent="0.25">
      <c r="A34" s="189" t="s">
        <v>159</v>
      </c>
      <c r="B34" s="192" t="s">
        <v>158</v>
      </c>
      <c r="C34" s="376">
        <v>5.1753351199999997</v>
      </c>
      <c r="D34" s="376">
        <v>0</v>
      </c>
      <c r="E34" s="376">
        <f t="shared" si="10"/>
        <v>5.1753351199999997</v>
      </c>
      <c r="F34" s="376">
        <f t="shared" si="5"/>
        <v>1.2346314299999994</v>
      </c>
      <c r="G34" s="377">
        <v>3.9407036900000003</v>
      </c>
      <c r="H34" s="377">
        <v>1.2346314299999994</v>
      </c>
      <c r="I34" s="377">
        <v>0</v>
      </c>
      <c r="J34" s="377">
        <v>0</v>
      </c>
      <c r="K34" s="377">
        <v>0</v>
      </c>
      <c r="L34" s="377">
        <v>0</v>
      </c>
      <c r="M34" s="377">
        <v>0</v>
      </c>
      <c r="N34" s="377">
        <v>0</v>
      </c>
      <c r="O34" s="377">
        <v>0</v>
      </c>
      <c r="P34" s="377">
        <v>0</v>
      </c>
      <c r="Q34" s="377">
        <v>0</v>
      </c>
      <c r="R34" s="377">
        <v>0</v>
      </c>
      <c r="S34" s="377">
        <v>0</v>
      </c>
      <c r="T34" s="377">
        <v>0</v>
      </c>
      <c r="U34" s="377">
        <v>0</v>
      </c>
      <c r="V34" s="377">
        <v>0</v>
      </c>
      <c r="W34" s="377">
        <v>0</v>
      </c>
      <c r="X34" s="377">
        <v>0</v>
      </c>
      <c r="Y34" s="377">
        <v>0</v>
      </c>
      <c r="Z34" s="377">
        <v>0</v>
      </c>
      <c r="AA34" s="377">
        <v>0</v>
      </c>
      <c r="AB34" s="376">
        <f t="shared" si="3"/>
        <v>1.2346314299999994</v>
      </c>
      <c r="AC34" s="372">
        <f t="shared" si="4"/>
        <v>0</v>
      </c>
    </row>
    <row r="35" spans="1:30" s="54" customFormat="1" ht="31.5" x14ac:dyDescent="0.25">
      <c r="A35" s="189" t="s">
        <v>60</v>
      </c>
      <c r="B35" s="190" t="s">
        <v>157</v>
      </c>
      <c r="C35" s="376">
        <v>0</v>
      </c>
      <c r="D35" s="376">
        <v>0</v>
      </c>
      <c r="E35" s="376">
        <f t="shared" si="10"/>
        <v>0</v>
      </c>
      <c r="F35" s="376">
        <f t="shared" si="5"/>
        <v>0</v>
      </c>
      <c r="G35" s="376">
        <v>0</v>
      </c>
      <c r="H35" s="376">
        <v>0</v>
      </c>
      <c r="I35" s="376">
        <v>0</v>
      </c>
      <c r="J35" s="376">
        <v>0</v>
      </c>
      <c r="K35" s="376">
        <v>0</v>
      </c>
      <c r="L35" s="376">
        <v>0</v>
      </c>
      <c r="M35" s="376">
        <v>0</v>
      </c>
      <c r="N35" s="376">
        <v>0</v>
      </c>
      <c r="O35" s="376">
        <v>0</v>
      </c>
      <c r="P35" s="376">
        <v>0</v>
      </c>
      <c r="Q35" s="376">
        <v>0</v>
      </c>
      <c r="R35" s="376">
        <v>0</v>
      </c>
      <c r="S35" s="376">
        <v>0</v>
      </c>
      <c r="T35" s="376">
        <v>0</v>
      </c>
      <c r="U35" s="376">
        <v>0</v>
      </c>
      <c r="V35" s="376">
        <v>0</v>
      </c>
      <c r="W35" s="376">
        <v>0</v>
      </c>
      <c r="X35" s="376">
        <v>0</v>
      </c>
      <c r="Y35" s="376">
        <v>0</v>
      </c>
      <c r="Z35" s="376">
        <v>0</v>
      </c>
      <c r="AA35" s="376">
        <v>0</v>
      </c>
      <c r="AB35" s="376">
        <f t="shared" si="3"/>
        <v>0</v>
      </c>
      <c r="AC35" s="372">
        <f t="shared" si="4"/>
        <v>0</v>
      </c>
      <c r="AD35" s="16"/>
    </row>
    <row r="36" spans="1:30" ht="31.5" x14ac:dyDescent="0.25">
      <c r="A36" s="191" t="s">
        <v>156</v>
      </c>
      <c r="B36" s="193" t="s">
        <v>155</v>
      </c>
      <c r="C36" s="378">
        <v>0</v>
      </c>
      <c r="D36" s="378">
        <v>0</v>
      </c>
      <c r="E36" s="376">
        <f t="shared" si="10"/>
        <v>0</v>
      </c>
      <c r="F36" s="376">
        <f t="shared" si="5"/>
        <v>0</v>
      </c>
      <c r="G36" s="377">
        <v>0</v>
      </c>
      <c r="H36" s="377">
        <v>0</v>
      </c>
      <c r="I36" s="377">
        <v>0</v>
      </c>
      <c r="J36" s="377">
        <v>0</v>
      </c>
      <c r="K36" s="377">
        <v>0</v>
      </c>
      <c r="L36" s="377">
        <v>0</v>
      </c>
      <c r="M36" s="377">
        <v>0</v>
      </c>
      <c r="N36" s="377">
        <v>0</v>
      </c>
      <c r="O36" s="377">
        <v>0</v>
      </c>
      <c r="P36" s="377">
        <v>0</v>
      </c>
      <c r="Q36" s="377">
        <v>0</v>
      </c>
      <c r="R36" s="377">
        <v>0</v>
      </c>
      <c r="S36" s="377">
        <v>0</v>
      </c>
      <c r="T36" s="377">
        <v>0</v>
      </c>
      <c r="U36" s="377">
        <v>0</v>
      </c>
      <c r="V36" s="377">
        <v>0</v>
      </c>
      <c r="W36" s="377">
        <v>0</v>
      </c>
      <c r="X36" s="377">
        <v>0</v>
      </c>
      <c r="Y36" s="377">
        <v>0</v>
      </c>
      <c r="Z36" s="377">
        <v>0</v>
      </c>
      <c r="AA36" s="377">
        <v>0</v>
      </c>
      <c r="AB36" s="376">
        <f t="shared" si="3"/>
        <v>0</v>
      </c>
      <c r="AC36" s="372">
        <f t="shared" si="4"/>
        <v>0</v>
      </c>
    </row>
    <row r="37" spans="1:30" x14ac:dyDescent="0.25">
      <c r="A37" s="191" t="s">
        <v>154</v>
      </c>
      <c r="B37" s="193" t="s">
        <v>144</v>
      </c>
      <c r="C37" s="378">
        <v>0.5</v>
      </c>
      <c r="D37" s="378">
        <v>0</v>
      </c>
      <c r="E37" s="376">
        <f t="shared" si="10"/>
        <v>0.5</v>
      </c>
      <c r="F37" s="376">
        <f t="shared" si="5"/>
        <v>0.5</v>
      </c>
      <c r="G37" s="377">
        <v>0</v>
      </c>
      <c r="H37" s="377">
        <v>0.5</v>
      </c>
      <c r="I37" s="377">
        <v>0</v>
      </c>
      <c r="J37" s="377">
        <v>0</v>
      </c>
      <c r="K37" s="377">
        <v>0</v>
      </c>
      <c r="L37" s="377">
        <v>0</v>
      </c>
      <c r="M37" s="377">
        <v>0</v>
      </c>
      <c r="N37" s="377">
        <v>0</v>
      </c>
      <c r="O37" s="377">
        <v>0</v>
      </c>
      <c r="P37" s="377">
        <v>0</v>
      </c>
      <c r="Q37" s="377">
        <v>0</v>
      </c>
      <c r="R37" s="377">
        <v>0</v>
      </c>
      <c r="S37" s="377">
        <v>0</v>
      </c>
      <c r="T37" s="377">
        <v>0</v>
      </c>
      <c r="U37" s="377">
        <v>0</v>
      </c>
      <c r="V37" s="377">
        <v>0</v>
      </c>
      <c r="W37" s="377">
        <v>0</v>
      </c>
      <c r="X37" s="377">
        <v>0</v>
      </c>
      <c r="Y37" s="377">
        <v>0</v>
      </c>
      <c r="Z37" s="377">
        <v>0</v>
      </c>
      <c r="AA37" s="377">
        <v>0</v>
      </c>
      <c r="AB37" s="376">
        <f t="shared" si="3"/>
        <v>0.5</v>
      </c>
      <c r="AC37" s="372">
        <f t="shared" si="4"/>
        <v>0</v>
      </c>
    </row>
    <row r="38" spans="1:30" x14ac:dyDescent="0.25">
      <c r="A38" s="191" t="s">
        <v>153</v>
      </c>
      <c r="B38" s="193" t="s">
        <v>142</v>
      </c>
      <c r="C38" s="378">
        <v>0</v>
      </c>
      <c r="D38" s="378">
        <v>0</v>
      </c>
      <c r="E38" s="376">
        <f t="shared" si="10"/>
        <v>0</v>
      </c>
      <c r="F38" s="376">
        <f t="shared" si="5"/>
        <v>0</v>
      </c>
      <c r="G38" s="377">
        <v>0</v>
      </c>
      <c r="H38" s="377">
        <v>0</v>
      </c>
      <c r="I38" s="377">
        <v>0</v>
      </c>
      <c r="J38" s="377">
        <v>0</v>
      </c>
      <c r="K38" s="377">
        <v>0</v>
      </c>
      <c r="L38" s="377">
        <v>0</v>
      </c>
      <c r="M38" s="377">
        <v>0</v>
      </c>
      <c r="N38" s="377">
        <v>0</v>
      </c>
      <c r="O38" s="377">
        <v>0</v>
      </c>
      <c r="P38" s="377">
        <v>0</v>
      </c>
      <c r="Q38" s="377">
        <v>0</v>
      </c>
      <c r="R38" s="377">
        <v>0</v>
      </c>
      <c r="S38" s="377">
        <v>0</v>
      </c>
      <c r="T38" s="377">
        <v>0</v>
      </c>
      <c r="U38" s="377">
        <v>0</v>
      </c>
      <c r="V38" s="377">
        <v>0</v>
      </c>
      <c r="W38" s="377">
        <v>0</v>
      </c>
      <c r="X38" s="377">
        <v>0</v>
      </c>
      <c r="Y38" s="377">
        <v>0</v>
      </c>
      <c r="Z38" s="377">
        <v>0</v>
      </c>
      <c r="AA38" s="377">
        <v>0</v>
      </c>
      <c r="AB38" s="376">
        <f t="shared" si="3"/>
        <v>0</v>
      </c>
      <c r="AC38" s="372">
        <f t="shared" si="4"/>
        <v>0</v>
      </c>
    </row>
    <row r="39" spans="1:30" ht="31.5" x14ac:dyDescent="0.25">
      <c r="A39" s="191" t="s">
        <v>152</v>
      </c>
      <c r="B39" s="192" t="s">
        <v>140</v>
      </c>
      <c r="C39" s="376">
        <v>0</v>
      </c>
      <c r="D39" s="376">
        <v>0</v>
      </c>
      <c r="E39" s="376">
        <f t="shared" si="10"/>
        <v>0</v>
      </c>
      <c r="F39" s="376">
        <f t="shared" si="5"/>
        <v>0</v>
      </c>
      <c r="G39" s="377">
        <v>0</v>
      </c>
      <c r="H39" s="377">
        <v>0</v>
      </c>
      <c r="I39" s="377">
        <v>0</v>
      </c>
      <c r="J39" s="377">
        <v>0</v>
      </c>
      <c r="K39" s="377">
        <v>0</v>
      </c>
      <c r="L39" s="377">
        <v>0</v>
      </c>
      <c r="M39" s="377">
        <v>0</v>
      </c>
      <c r="N39" s="377">
        <v>0</v>
      </c>
      <c r="O39" s="377">
        <v>0</v>
      </c>
      <c r="P39" s="377">
        <v>0</v>
      </c>
      <c r="Q39" s="377">
        <v>0</v>
      </c>
      <c r="R39" s="377">
        <v>0</v>
      </c>
      <c r="S39" s="377">
        <v>0</v>
      </c>
      <c r="T39" s="377">
        <v>0</v>
      </c>
      <c r="U39" s="377">
        <v>0</v>
      </c>
      <c r="V39" s="377">
        <v>0</v>
      </c>
      <c r="W39" s="377">
        <v>0</v>
      </c>
      <c r="X39" s="377">
        <v>0</v>
      </c>
      <c r="Y39" s="377">
        <v>0</v>
      </c>
      <c r="Z39" s="377">
        <v>0</v>
      </c>
      <c r="AA39" s="377">
        <v>0</v>
      </c>
      <c r="AB39" s="376">
        <f t="shared" si="3"/>
        <v>0</v>
      </c>
      <c r="AC39" s="372">
        <f t="shared" si="4"/>
        <v>0</v>
      </c>
    </row>
    <row r="40" spans="1:30" ht="31.5" x14ac:dyDescent="0.25">
      <c r="A40" s="191" t="s">
        <v>151</v>
      </c>
      <c r="B40" s="192" t="s">
        <v>138</v>
      </c>
      <c r="C40" s="376">
        <v>0</v>
      </c>
      <c r="D40" s="376">
        <v>0</v>
      </c>
      <c r="E40" s="376">
        <f t="shared" si="10"/>
        <v>0</v>
      </c>
      <c r="F40" s="376">
        <f t="shared" si="5"/>
        <v>0</v>
      </c>
      <c r="G40" s="377">
        <v>0</v>
      </c>
      <c r="H40" s="377">
        <v>0</v>
      </c>
      <c r="I40" s="377">
        <v>0</v>
      </c>
      <c r="J40" s="377">
        <v>0</v>
      </c>
      <c r="K40" s="377">
        <v>0</v>
      </c>
      <c r="L40" s="377">
        <v>0</v>
      </c>
      <c r="M40" s="377">
        <v>0</v>
      </c>
      <c r="N40" s="377">
        <v>0</v>
      </c>
      <c r="O40" s="377">
        <v>0</v>
      </c>
      <c r="P40" s="377">
        <v>0</v>
      </c>
      <c r="Q40" s="377">
        <v>0</v>
      </c>
      <c r="R40" s="377">
        <v>0</v>
      </c>
      <c r="S40" s="377">
        <v>0</v>
      </c>
      <c r="T40" s="377">
        <v>0</v>
      </c>
      <c r="U40" s="377">
        <v>0</v>
      </c>
      <c r="V40" s="377">
        <v>0</v>
      </c>
      <c r="W40" s="377">
        <v>0</v>
      </c>
      <c r="X40" s="377">
        <v>0</v>
      </c>
      <c r="Y40" s="377">
        <v>0</v>
      </c>
      <c r="Z40" s="377">
        <v>0</v>
      </c>
      <c r="AA40" s="377">
        <v>0</v>
      </c>
      <c r="AB40" s="376">
        <f t="shared" si="3"/>
        <v>0</v>
      </c>
      <c r="AC40" s="372">
        <f t="shared" si="4"/>
        <v>0</v>
      </c>
    </row>
    <row r="41" spans="1:30" x14ac:dyDescent="0.25">
      <c r="A41" s="191" t="s">
        <v>150</v>
      </c>
      <c r="B41" s="192" t="s">
        <v>136</v>
      </c>
      <c r="C41" s="376">
        <v>0.95000000000000007</v>
      </c>
      <c r="D41" s="376">
        <v>0</v>
      </c>
      <c r="E41" s="376">
        <f t="shared" si="10"/>
        <v>0.95000000000000007</v>
      </c>
      <c r="F41" s="376">
        <f t="shared" si="5"/>
        <v>0.95000000000000007</v>
      </c>
      <c r="G41" s="377">
        <v>0</v>
      </c>
      <c r="H41" s="377">
        <v>0.95000000000000007</v>
      </c>
      <c r="I41" s="377">
        <v>0</v>
      </c>
      <c r="J41" s="377">
        <v>0</v>
      </c>
      <c r="K41" s="377">
        <v>0</v>
      </c>
      <c r="L41" s="377">
        <v>0</v>
      </c>
      <c r="M41" s="377">
        <v>0</v>
      </c>
      <c r="N41" s="377">
        <v>0</v>
      </c>
      <c r="O41" s="377">
        <v>0</v>
      </c>
      <c r="P41" s="377">
        <v>0</v>
      </c>
      <c r="Q41" s="377">
        <v>0</v>
      </c>
      <c r="R41" s="377">
        <v>0</v>
      </c>
      <c r="S41" s="377">
        <v>0</v>
      </c>
      <c r="T41" s="377">
        <v>0</v>
      </c>
      <c r="U41" s="377">
        <v>0</v>
      </c>
      <c r="V41" s="377">
        <v>0</v>
      </c>
      <c r="W41" s="377">
        <v>0</v>
      </c>
      <c r="X41" s="377">
        <v>0</v>
      </c>
      <c r="Y41" s="377">
        <v>0</v>
      </c>
      <c r="Z41" s="377">
        <v>0</v>
      </c>
      <c r="AA41" s="377">
        <v>0</v>
      </c>
      <c r="AB41" s="376">
        <f t="shared" si="3"/>
        <v>0.95000000000000007</v>
      </c>
      <c r="AC41" s="372">
        <f t="shared" si="4"/>
        <v>0</v>
      </c>
    </row>
    <row r="42" spans="1:30" ht="18.75" x14ac:dyDescent="0.25">
      <c r="A42" s="191" t="s">
        <v>149</v>
      </c>
      <c r="B42" s="193" t="s">
        <v>523</v>
      </c>
      <c r="C42" s="378">
        <v>2</v>
      </c>
      <c r="D42" s="378">
        <v>0</v>
      </c>
      <c r="E42" s="376">
        <f t="shared" si="10"/>
        <v>2</v>
      </c>
      <c r="F42" s="376">
        <f t="shared" si="5"/>
        <v>2</v>
      </c>
      <c r="G42" s="377">
        <v>0</v>
      </c>
      <c r="H42" s="377">
        <v>2</v>
      </c>
      <c r="I42" s="377">
        <v>0</v>
      </c>
      <c r="J42" s="377">
        <v>0</v>
      </c>
      <c r="K42" s="377">
        <v>0</v>
      </c>
      <c r="L42" s="377">
        <v>0</v>
      </c>
      <c r="M42" s="377">
        <v>0</v>
      </c>
      <c r="N42" s="377">
        <v>0</v>
      </c>
      <c r="O42" s="377">
        <v>0</v>
      </c>
      <c r="P42" s="377">
        <v>0</v>
      </c>
      <c r="Q42" s="377">
        <v>0</v>
      </c>
      <c r="R42" s="377">
        <v>0</v>
      </c>
      <c r="S42" s="377">
        <v>0</v>
      </c>
      <c r="T42" s="377">
        <v>0</v>
      </c>
      <c r="U42" s="377">
        <v>0</v>
      </c>
      <c r="V42" s="377">
        <v>0</v>
      </c>
      <c r="W42" s="377">
        <v>0</v>
      </c>
      <c r="X42" s="377">
        <v>0</v>
      </c>
      <c r="Y42" s="377">
        <v>0</v>
      </c>
      <c r="Z42" s="377">
        <v>0</v>
      </c>
      <c r="AA42" s="377">
        <v>0</v>
      </c>
      <c r="AB42" s="376">
        <f t="shared" si="3"/>
        <v>2</v>
      </c>
      <c r="AC42" s="372">
        <f t="shared" si="4"/>
        <v>0</v>
      </c>
    </row>
    <row r="43" spans="1:30" s="54" customFormat="1" x14ac:dyDescent="0.25">
      <c r="A43" s="189" t="s">
        <v>59</v>
      </c>
      <c r="B43" s="190" t="s">
        <v>148</v>
      </c>
      <c r="C43" s="376">
        <v>0</v>
      </c>
      <c r="D43" s="376">
        <v>0</v>
      </c>
      <c r="E43" s="376">
        <f t="shared" si="10"/>
        <v>0</v>
      </c>
      <c r="F43" s="376">
        <f t="shared" si="5"/>
        <v>0</v>
      </c>
      <c r="G43" s="376">
        <v>0</v>
      </c>
      <c r="H43" s="376">
        <v>0</v>
      </c>
      <c r="I43" s="376">
        <v>0</v>
      </c>
      <c r="J43" s="376">
        <v>0</v>
      </c>
      <c r="K43" s="376">
        <v>0</v>
      </c>
      <c r="L43" s="376">
        <v>0</v>
      </c>
      <c r="M43" s="376">
        <v>0</v>
      </c>
      <c r="N43" s="376">
        <v>0</v>
      </c>
      <c r="O43" s="376">
        <v>0</v>
      </c>
      <c r="P43" s="376">
        <v>0</v>
      </c>
      <c r="Q43" s="376">
        <v>0</v>
      </c>
      <c r="R43" s="376">
        <v>0</v>
      </c>
      <c r="S43" s="376">
        <v>0</v>
      </c>
      <c r="T43" s="376">
        <v>0</v>
      </c>
      <c r="U43" s="376">
        <v>0</v>
      </c>
      <c r="V43" s="376">
        <v>0</v>
      </c>
      <c r="W43" s="376">
        <v>0</v>
      </c>
      <c r="X43" s="376">
        <v>0</v>
      </c>
      <c r="Y43" s="376">
        <v>0</v>
      </c>
      <c r="Z43" s="376">
        <v>0</v>
      </c>
      <c r="AA43" s="376">
        <v>0</v>
      </c>
      <c r="AB43" s="376">
        <f t="shared" si="3"/>
        <v>0</v>
      </c>
      <c r="AC43" s="372">
        <f t="shared" si="4"/>
        <v>0</v>
      </c>
      <c r="AD43" s="16"/>
    </row>
    <row r="44" spans="1:30" x14ac:dyDescent="0.25">
      <c r="A44" s="191" t="s">
        <v>147</v>
      </c>
      <c r="B44" s="192" t="s">
        <v>146</v>
      </c>
      <c r="C44" s="378">
        <f t="shared" ref="C44" si="11">C36</f>
        <v>0</v>
      </c>
      <c r="D44" s="378">
        <v>0</v>
      </c>
      <c r="E44" s="376">
        <f t="shared" si="10"/>
        <v>0</v>
      </c>
      <c r="F44" s="376">
        <f t="shared" si="5"/>
        <v>0</v>
      </c>
      <c r="G44" s="377">
        <v>0</v>
      </c>
      <c r="H44" s="377">
        <v>0</v>
      </c>
      <c r="I44" s="377">
        <v>0</v>
      </c>
      <c r="J44" s="377">
        <v>0</v>
      </c>
      <c r="K44" s="377">
        <v>0</v>
      </c>
      <c r="L44" s="377">
        <v>0</v>
      </c>
      <c r="M44" s="377">
        <v>0</v>
      </c>
      <c r="N44" s="377">
        <v>0</v>
      </c>
      <c r="O44" s="377">
        <v>0</v>
      </c>
      <c r="P44" s="377">
        <v>0</v>
      </c>
      <c r="Q44" s="377">
        <v>0</v>
      </c>
      <c r="R44" s="377">
        <v>0</v>
      </c>
      <c r="S44" s="377">
        <v>0</v>
      </c>
      <c r="T44" s="377">
        <v>0</v>
      </c>
      <c r="U44" s="377">
        <v>0</v>
      </c>
      <c r="V44" s="377">
        <v>0</v>
      </c>
      <c r="W44" s="377">
        <v>0</v>
      </c>
      <c r="X44" s="377">
        <v>0</v>
      </c>
      <c r="Y44" s="377">
        <v>0</v>
      </c>
      <c r="Z44" s="377">
        <v>0</v>
      </c>
      <c r="AA44" s="377">
        <v>0</v>
      </c>
      <c r="AB44" s="376">
        <f t="shared" si="3"/>
        <v>0</v>
      </c>
      <c r="AC44" s="372">
        <f t="shared" si="4"/>
        <v>0</v>
      </c>
    </row>
    <row r="45" spans="1:30" x14ac:dyDescent="0.25">
      <c r="A45" s="191" t="s">
        <v>145</v>
      </c>
      <c r="B45" s="192" t="s">
        <v>144</v>
      </c>
      <c r="C45" s="378">
        <f t="shared" ref="C45" si="12">C37</f>
        <v>0.5</v>
      </c>
      <c r="D45" s="378">
        <v>0</v>
      </c>
      <c r="E45" s="376">
        <f t="shared" si="10"/>
        <v>0.5</v>
      </c>
      <c r="F45" s="376">
        <f t="shared" si="5"/>
        <v>0.5</v>
      </c>
      <c r="G45" s="377">
        <v>0</v>
      </c>
      <c r="H45" s="377">
        <v>0.5</v>
      </c>
      <c r="I45" s="377">
        <v>0</v>
      </c>
      <c r="J45" s="377">
        <v>0</v>
      </c>
      <c r="K45" s="377">
        <v>0</v>
      </c>
      <c r="L45" s="377">
        <v>0</v>
      </c>
      <c r="M45" s="377">
        <v>0</v>
      </c>
      <c r="N45" s="377">
        <v>0</v>
      </c>
      <c r="O45" s="377">
        <v>0</v>
      </c>
      <c r="P45" s="377">
        <v>0</v>
      </c>
      <c r="Q45" s="377">
        <v>0</v>
      </c>
      <c r="R45" s="377">
        <v>0</v>
      </c>
      <c r="S45" s="377">
        <v>0</v>
      </c>
      <c r="T45" s="377">
        <v>0</v>
      </c>
      <c r="U45" s="377">
        <v>0</v>
      </c>
      <c r="V45" s="377">
        <v>0</v>
      </c>
      <c r="W45" s="377">
        <v>0</v>
      </c>
      <c r="X45" s="377">
        <v>0</v>
      </c>
      <c r="Y45" s="377">
        <v>0</v>
      </c>
      <c r="Z45" s="377">
        <v>0</v>
      </c>
      <c r="AA45" s="377">
        <v>0</v>
      </c>
      <c r="AB45" s="376">
        <f t="shared" si="3"/>
        <v>0.5</v>
      </c>
      <c r="AC45" s="372">
        <f t="shared" si="4"/>
        <v>0</v>
      </c>
    </row>
    <row r="46" spans="1:30" x14ac:dyDescent="0.25">
      <c r="A46" s="191" t="s">
        <v>143</v>
      </c>
      <c r="B46" s="192" t="s">
        <v>142</v>
      </c>
      <c r="C46" s="378">
        <f t="shared" ref="C46" si="13">C38</f>
        <v>0</v>
      </c>
      <c r="D46" s="378">
        <v>0</v>
      </c>
      <c r="E46" s="376">
        <f t="shared" si="10"/>
        <v>0</v>
      </c>
      <c r="F46" s="376">
        <f t="shared" si="5"/>
        <v>0</v>
      </c>
      <c r="G46" s="377">
        <v>0</v>
      </c>
      <c r="H46" s="377">
        <v>0</v>
      </c>
      <c r="I46" s="377">
        <v>0</v>
      </c>
      <c r="J46" s="377">
        <v>0</v>
      </c>
      <c r="K46" s="377">
        <v>0</v>
      </c>
      <c r="L46" s="377">
        <v>0</v>
      </c>
      <c r="M46" s="377">
        <v>0</v>
      </c>
      <c r="N46" s="377">
        <v>0</v>
      </c>
      <c r="O46" s="377">
        <v>0</v>
      </c>
      <c r="P46" s="377">
        <v>0</v>
      </c>
      <c r="Q46" s="377">
        <v>0</v>
      </c>
      <c r="R46" s="377">
        <v>0</v>
      </c>
      <c r="S46" s="377">
        <v>0</v>
      </c>
      <c r="T46" s="377">
        <v>0</v>
      </c>
      <c r="U46" s="377">
        <v>0</v>
      </c>
      <c r="V46" s="377">
        <v>0</v>
      </c>
      <c r="W46" s="377">
        <v>0</v>
      </c>
      <c r="X46" s="377">
        <v>0</v>
      </c>
      <c r="Y46" s="377">
        <v>0</v>
      </c>
      <c r="Z46" s="377">
        <v>0</v>
      </c>
      <c r="AA46" s="377">
        <v>0</v>
      </c>
      <c r="AB46" s="376">
        <f t="shared" si="3"/>
        <v>0</v>
      </c>
      <c r="AC46" s="372">
        <f t="shared" si="4"/>
        <v>0</v>
      </c>
    </row>
    <row r="47" spans="1:30" ht="31.5" x14ac:dyDescent="0.25">
      <c r="A47" s="191" t="s">
        <v>141</v>
      </c>
      <c r="B47" s="192" t="s">
        <v>140</v>
      </c>
      <c r="C47" s="378">
        <f t="shared" ref="C47" si="14">C39</f>
        <v>0</v>
      </c>
      <c r="D47" s="378">
        <v>0</v>
      </c>
      <c r="E47" s="376">
        <f t="shared" si="10"/>
        <v>0</v>
      </c>
      <c r="F47" s="376">
        <f t="shared" si="5"/>
        <v>0</v>
      </c>
      <c r="G47" s="377">
        <v>0</v>
      </c>
      <c r="H47" s="377">
        <v>0</v>
      </c>
      <c r="I47" s="377">
        <v>0</v>
      </c>
      <c r="J47" s="377">
        <v>0</v>
      </c>
      <c r="K47" s="377">
        <v>0</v>
      </c>
      <c r="L47" s="377">
        <v>0</v>
      </c>
      <c r="M47" s="377">
        <v>0</v>
      </c>
      <c r="N47" s="377">
        <v>0</v>
      </c>
      <c r="O47" s="377">
        <v>0</v>
      </c>
      <c r="P47" s="377">
        <v>0</v>
      </c>
      <c r="Q47" s="377">
        <v>0</v>
      </c>
      <c r="R47" s="377">
        <v>0</v>
      </c>
      <c r="S47" s="377">
        <v>0</v>
      </c>
      <c r="T47" s="377">
        <v>0</v>
      </c>
      <c r="U47" s="377">
        <v>0</v>
      </c>
      <c r="V47" s="377">
        <v>0</v>
      </c>
      <c r="W47" s="377">
        <v>0</v>
      </c>
      <c r="X47" s="377">
        <v>0</v>
      </c>
      <c r="Y47" s="377">
        <v>0</v>
      </c>
      <c r="Z47" s="377">
        <v>0</v>
      </c>
      <c r="AA47" s="377">
        <v>0</v>
      </c>
      <c r="AB47" s="376">
        <f t="shared" si="3"/>
        <v>0</v>
      </c>
      <c r="AC47" s="372">
        <f t="shared" si="4"/>
        <v>0</v>
      </c>
    </row>
    <row r="48" spans="1:30" ht="31.5" x14ac:dyDescent="0.25">
      <c r="A48" s="191" t="s">
        <v>139</v>
      </c>
      <c r="B48" s="192" t="s">
        <v>138</v>
      </c>
      <c r="C48" s="378">
        <f t="shared" ref="C48" si="15">C40</f>
        <v>0</v>
      </c>
      <c r="D48" s="378">
        <v>0</v>
      </c>
      <c r="E48" s="376">
        <f t="shared" si="10"/>
        <v>0</v>
      </c>
      <c r="F48" s="376">
        <f t="shared" si="5"/>
        <v>0</v>
      </c>
      <c r="G48" s="377">
        <v>0</v>
      </c>
      <c r="H48" s="377">
        <v>0</v>
      </c>
      <c r="I48" s="377">
        <v>0</v>
      </c>
      <c r="J48" s="377">
        <v>0</v>
      </c>
      <c r="K48" s="377">
        <v>0</v>
      </c>
      <c r="L48" s="377">
        <v>0</v>
      </c>
      <c r="M48" s="377">
        <v>0</v>
      </c>
      <c r="N48" s="377">
        <v>0</v>
      </c>
      <c r="O48" s="377">
        <v>0</v>
      </c>
      <c r="P48" s="377">
        <v>0</v>
      </c>
      <c r="Q48" s="377">
        <v>0</v>
      </c>
      <c r="R48" s="377">
        <v>0</v>
      </c>
      <c r="S48" s="377">
        <v>0</v>
      </c>
      <c r="T48" s="377">
        <v>0</v>
      </c>
      <c r="U48" s="377">
        <v>0</v>
      </c>
      <c r="V48" s="377">
        <v>0</v>
      </c>
      <c r="W48" s="377">
        <v>0</v>
      </c>
      <c r="X48" s="377">
        <v>0</v>
      </c>
      <c r="Y48" s="377">
        <v>0</v>
      </c>
      <c r="Z48" s="377">
        <v>0</v>
      </c>
      <c r="AA48" s="377">
        <v>0</v>
      </c>
      <c r="AB48" s="376">
        <f t="shared" si="3"/>
        <v>0</v>
      </c>
      <c r="AC48" s="372">
        <f t="shared" si="4"/>
        <v>0</v>
      </c>
    </row>
    <row r="49" spans="1:30" x14ac:dyDescent="0.25">
      <c r="A49" s="191" t="s">
        <v>137</v>
      </c>
      <c r="B49" s="192" t="s">
        <v>136</v>
      </c>
      <c r="C49" s="378">
        <f t="shared" ref="C49" si="16">C41</f>
        <v>0.95000000000000007</v>
      </c>
      <c r="D49" s="378">
        <v>0</v>
      </c>
      <c r="E49" s="376">
        <f t="shared" si="10"/>
        <v>0.95000000000000007</v>
      </c>
      <c r="F49" s="376">
        <f t="shared" si="5"/>
        <v>0.95000000000000007</v>
      </c>
      <c r="G49" s="377">
        <v>0</v>
      </c>
      <c r="H49" s="377">
        <v>0.95000000000000007</v>
      </c>
      <c r="I49" s="377">
        <v>0</v>
      </c>
      <c r="J49" s="377">
        <v>0</v>
      </c>
      <c r="K49" s="377">
        <v>0</v>
      </c>
      <c r="L49" s="377">
        <v>0</v>
      </c>
      <c r="M49" s="377">
        <v>0</v>
      </c>
      <c r="N49" s="377">
        <v>0</v>
      </c>
      <c r="O49" s="377">
        <v>0</v>
      </c>
      <c r="P49" s="377">
        <v>0</v>
      </c>
      <c r="Q49" s="377">
        <v>0</v>
      </c>
      <c r="R49" s="377">
        <v>0</v>
      </c>
      <c r="S49" s="377">
        <v>0</v>
      </c>
      <c r="T49" s="377">
        <v>0</v>
      </c>
      <c r="U49" s="377">
        <v>0</v>
      </c>
      <c r="V49" s="377">
        <v>0</v>
      </c>
      <c r="W49" s="377">
        <v>0</v>
      </c>
      <c r="X49" s="377">
        <v>0</v>
      </c>
      <c r="Y49" s="377">
        <v>0</v>
      </c>
      <c r="Z49" s="377">
        <v>0</v>
      </c>
      <c r="AA49" s="377">
        <v>0</v>
      </c>
      <c r="AB49" s="376">
        <f t="shared" si="3"/>
        <v>0.95000000000000007</v>
      </c>
      <c r="AC49" s="372">
        <f t="shared" si="4"/>
        <v>0</v>
      </c>
    </row>
    <row r="50" spans="1:30" ht="18.75" x14ac:dyDescent="0.25">
      <c r="A50" s="191" t="s">
        <v>135</v>
      </c>
      <c r="B50" s="193" t="s">
        <v>523</v>
      </c>
      <c r="C50" s="378">
        <f>C42</f>
        <v>2</v>
      </c>
      <c r="D50" s="378">
        <v>0</v>
      </c>
      <c r="E50" s="376">
        <f t="shared" si="10"/>
        <v>2</v>
      </c>
      <c r="F50" s="376">
        <f t="shared" si="5"/>
        <v>2</v>
      </c>
      <c r="G50" s="377">
        <v>0</v>
      </c>
      <c r="H50" s="377">
        <v>2</v>
      </c>
      <c r="I50" s="377">
        <v>0</v>
      </c>
      <c r="J50" s="377">
        <v>0</v>
      </c>
      <c r="K50" s="377">
        <v>0</v>
      </c>
      <c r="L50" s="377">
        <v>0</v>
      </c>
      <c r="M50" s="377">
        <v>0</v>
      </c>
      <c r="N50" s="377">
        <v>0</v>
      </c>
      <c r="O50" s="377">
        <v>0</v>
      </c>
      <c r="P50" s="377">
        <v>0</v>
      </c>
      <c r="Q50" s="377">
        <v>0</v>
      </c>
      <c r="R50" s="377">
        <v>0</v>
      </c>
      <c r="S50" s="377">
        <v>0</v>
      </c>
      <c r="T50" s="377">
        <v>0</v>
      </c>
      <c r="U50" s="377">
        <v>0</v>
      </c>
      <c r="V50" s="377">
        <v>0</v>
      </c>
      <c r="W50" s="377">
        <v>0</v>
      </c>
      <c r="X50" s="377">
        <v>0</v>
      </c>
      <c r="Y50" s="377">
        <v>0</v>
      </c>
      <c r="Z50" s="377">
        <v>0</v>
      </c>
      <c r="AA50" s="377">
        <v>0</v>
      </c>
      <c r="AB50" s="376">
        <f t="shared" si="3"/>
        <v>2</v>
      </c>
      <c r="AC50" s="372">
        <f t="shared" si="4"/>
        <v>0</v>
      </c>
    </row>
    <row r="51" spans="1:30" s="54" customFormat="1" ht="35.25" customHeight="1" x14ac:dyDescent="0.25">
      <c r="A51" s="189" t="s">
        <v>57</v>
      </c>
      <c r="B51" s="190" t="s">
        <v>134</v>
      </c>
      <c r="C51" s="376">
        <v>0</v>
      </c>
      <c r="D51" s="376">
        <v>0</v>
      </c>
      <c r="E51" s="376">
        <f t="shared" si="10"/>
        <v>0</v>
      </c>
      <c r="F51" s="376">
        <f t="shared" si="5"/>
        <v>0</v>
      </c>
      <c r="G51" s="376">
        <v>0</v>
      </c>
      <c r="H51" s="376">
        <v>0</v>
      </c>
      <c r="I51" s="376">
        <v>0</v>
      </c>
      <c r="J51" s="376">
        <v>0</v>
      </c>
      <c r="K51" s="376">
        <v>0</v>
      </c>
      <c r="L51" s="376">
        <v>0</v>
      </c>
      <c r="M51" s="376">
        <v>0</v>
      </c>
      <c r="N51" s="376">
        <v>0</v>
      </c>
      <c r="O51" s="376">
        <v>0</v>
      </c>
      <c r="P51" s="376">
        <v>0</v>
      </c>
      <c r="Q51" s="376">
        <v>0</v>
      </c>
      <c r="R51" s="376">
        <v>0</v>
      </c>
      <c r="S51" s="376">
        <v>0</v>
      </c>
      <c r="T51" s="376">
        <v>0</v>
      </c>
      <c r="U51" s="376">
        <v>0</v>
      </c>
      <c r="V51" s="376">
        <v>0</v>
      </c>
      <c r="W51" s="376">
        <v>0</v>
      </c>
      <c r="X51" s="376">
        <v>0</v>
      </c>
      <c r="Y51" s="376">
        <v>0</v>
      </c>
      <c r="Z51" s="376">
        <v>0</v>
      </c>
      <c r="AA51" s="376">
        <v>0</v>
      </c>
      <c r="AB51" s="376">
        <f t="shared" si="3"/>
        <v>0</v>
      </c>
      <c r="AC51" s="372">
        <f t="shared" si="4"/>
        <v>0</v>
      </c>
      <c r="AD51" s="16"/>
    </row>
    <row r="52" spans="1:30" x14ac:dyDescent="0.25">
      <c r="A52" s="191" t="s">
        <v>133</v>
      </c>
      <c r="B52" s="192" t="s">
        <v>132</v>
      </c>
      <c r="C52" s="376">
        <f>C30</f>
        <v>30.566137640000001</v>
      </c>
      <c r="D52" s="376">
        <v>0</v>
      </c>
      <c r="E52" s="376">
        <f t="shared" si="10"/>
        <v>30.566137640000001</v>
      </c>
      <c r="F52" s="376">
        <f t="shared" si="5"/>
        <v>30.566137640000001</v>
      </c>
      <c r="G52" s="377">
        <v>0</v>
      </c>
      <c r="H52" s="377">
        <v>30.566137640000001</v>
      </c>
      <c r="I52" s="377">
        <v>0</v>
      </c>
      <c r="J52" s="377">
        <v>0</v>
      </c>
      <c r="K52" s="377">
        <v>0</v>
      </c>
      <c r="L52" s="377">
        <v>0</v>
      </c>
      <c r="M52" s="377">
        <v>0</v>
      </c>
      <c r="N52" s="377">
        <v>0</v>
      </c>
      <c r="O52" s="377">
        <v>0</v>
      </c>
      <c r="P52" s="377">
        <v>0</v>
      </c>
      <c r="Q52" s="377">
        <v>0</v>
      </c>
      <c r="R52" s="377">
        <v>0</v>
      </c>
      <c r="S52" s="377">
        <v>0</v>
      </c>
      <c r="T52" s="377">
        <v>0</v>
      </c>
      <c r="U52" s="377">
        <v>0</v>
      </c>
      <c r="V52" s="377">
        <v>0</v>
      </c>
      <c r="W52" s="377">
        <v>0</v>
      </c>
      <c r="X52" s="377">
        <v>0</v>
      </c>
      <c r="Y52" s="377">
        <v>0</v>
      </c>
      <c r="Z52" s="377">
        <v>0</v>
      </c>
      <c r="AA52" s="377">
        <v>0</v>
      </c>
      <c r="AB52" s="376">
        <f t="shared" si="3"/>
        <v>30.566137640000001</v>
      </c>
      <c r="AC52" s="372">
        <f t="shared" si="4"/>
        <v>0</v>
      </c>
    </row>
    <row r="53" spans="1:30" x14ac:dyDescent="0.25">
      <c r="A53" s="191" t="s">
        <v>131</v>
      </c>
      <c r="B53" s="192" t="s">
        <v>125</v>
      </c>
      <c r="C53" s="376">
        <v>0</v>
      </c>
      <c r="D53" s="376">
        <v>0</v>
      </c>
      <c r="E53" s="376">
        <f t="shared" si="10"/>
        <v>0</v>
      </c>
      <c r="F53" s="376">
        <f t="shared" si="5"/>
        <v>0</v>
      </c>
      <c r="G53" s="377">
        <v>0</v>
      </c>
      <c r="H53" s="377">
        <v>0</v>
      </c>
      <c r="I53" s="377">
        <v>0</v>
      </c>
      <c r="J53" s="377">
        <v>0</v>
      </c>
      <c r="K53" s="377">
        <v>0</v>
      </c>
      <c r="L53" s="377">
        <v>0</v>
      </c>
      <c r="M53" s="377">
        <v>0</v>
      </c>
      <c r="N53" s="377">
        <v>0</v>
      </c>
      <c r="O53" s="377">
        <v>0</v>
      </c>
      <c r="P53" s="377">
        <v>0</v>
      </c>
      <c r="Q53" s="377">
        <v>0</v>
      </c>
      <c r="R53" s="377">
        <v>0</v>
      </c>
      <c r="S53" s="377">
        <v>0</v>
      </c>
      <c r="T53" s="377">
        <v>0</v>
      </c>
      <c r="U53" s="377">
        <v>0</v>
      </c>
      <c r="V53" s="377">
        <v>0</v>
      </c>
      <c r="W53" s="377">
        <v>0</v>
      </c>
      <c r="X53" s="377">
        <v>0</v>
      </c>
      <c r="Y53" s="377">
        <v>0</v>
      </c>
      <c r="Z53" s="377">
        <v>0</v>
      </c>
      <c r="AA53" s="377">
        <v>0</v>
      </c>
      <c r="AB53" s="376">
        <f t="shared" si="3"/>
        <v>0</v>
      </c>
      <c r="AC53" s="372">
        <f t="shared" si="4"/>
        <v>0</v>
      </c>
    </row>
    <row r="54" spans="1:30" x14ac:dyDescent="0.25">
      <c r="A54" s="191" t="s">
        <v>130</v>
      </c>
      <c r="B54" s="193" t="s">
        <v>124</v>
      </c>
      <c r="C54" s="378">
        <f>C45</f>
        <v>0.5</v>
      </c>
      <c r="D54" s="378">
        <v>0</v>
      </c>
      <c r="E54" s="376">
        <f t="shared" si="10"/>
        <v>0.5</v>
      </c>
      <c r="F54" s="376">
        <f t="shared" si="5"/>
        <v>0.5</v>
      </c>
      <c r="G54" s="377">
        <v>0</v>
      </c>
      <c r="H54" s="377">
        <v>0.5</v>
      </c>
      <c r="I54" s="377">
        <v>0</v>
      </c>
      <c r="J54" s="377">
        <v>0</v>
      </c>
      <c r="K54" s="377">
        <v>0</v>
      </c>
      <c r="L54" s="377">
        <v>0</v>
      </c>
      <c r="M54" s="377">
        <v>0</v>
      </c>
      <c r="N54" s="377">
        <v>0</v>
      </c>
      <c r="O54" s="377">
        <v>0</v>
      </c>
      <c r="P54" s="377">
        <v>0</v>
      </c>
      <c r="Q54" s="377">
        <v>0</v>
      </c>
      <c r="R54" s="377">
        <v>0</v>
      </c>
      <c r="S54" s="377">
        <v>0</v>
      </c>
      <c r="T54" s="377">
        <v>0</v>
      </c>
      <c r="U54" s="377">
        <v>0</v>
      </c>
      <c r="V54" s="377">
        <v>0</v>
      </c>
      <c r="W54" s="377">
        <v>0</v>
      </c>
      <c r="X54" s="377">
        <v>0</v>
      </c>
      <c r="Y54" s="377">
        <v>0</v>
      </c>
      <c r="Z54" s="377">
        <v>0</v>
      </c>
      <c r="AA54" s="377">
        <v>0</v>
      </c>
      <c r="AB54" s="376">
        <f t="shared" si="3"/>
        <v>0.5</v>
      </c>
      <c r="AC54" s="372">
        <f t="shared" si="4"/>
        <v>0</v>
      </c>
    </row>
    <row r="55" spans="1:30" x14ac:dyDescent="0.25">
      <c r="A55" s="191" t="s">
        <v>129</v>
      </c>
      <c r="B55" s="193" t="s">
        <v>123</v>
      </c>
      <c r="C55" s="378">
        <v>0</v>
      </c>
      <c r="D55" s="378">
        <v>0</v>
      </c>
      <c r="E55" s="376">
        <f t="shared" si="10"/>
        <v>0</v>
      </c>
      <c r="F55" s="376">
        <f t="shared" si="5"/>
        <v>0</v>
      </c>
      <c r="G55" s="377">
        <v>0</v>
      </c>
      <c r="H55" s="377">
        <v>0</v>
      </c>
      <c r="I55" s="377">
        <v>0</v>
      </c>
      <c r="J55" s="377">
        <v>0</v>
      </c>
      <c r="K55" s="377">
        <v>0</v>
      </c>
      <c r="L55" s="377">
        <v>0</v>
      </c>
      <c r="M55" s="377">
        <v>0</v>
      </c>
      <c r="N55" s="377">
        <v>0</v>
      </c>
      <c r="O55" s="377">
        <v>0</v>
      </c>
      <c r="P55" s="377">
        <v>0</v>
      </c>
      <c r="Q55" s="377">
        <v>0</v>
      </c>
      <c r="R55" s="377">
        <v>0</v>
      </c>
      <c r="S55" s="377">
        <v>0</v>
      </c>
      <c r="T55" s="377">
        <v>0</v>
      </c>
      <c r="U55" s="377">
        <v>0</v>
      </c>
      <c r="V55" s="377">
        <v>0</v>
      </c>
      <c r="W55" s="377">
        <v>0</v>
      </c>
      <c r="X55" s="377">
        <v>0</v>
      </c>
      <c r="Y55" s="377">
        <v>0</v>
      </c>
      <c r="Z55" s="377">
        <v>0</v>
      </c>
      <c r="AA55" s="377">
        <v>0</v>
      </c>
      <c r="AB55" s="376">
        <f t="shared" si="3"/>
        <v>0</v>
      </c>
      <c r="AC55" s="372">
        <f t="shared" si="4"/>
        <v>0</v>
      </c>
    </row>
    <row r="56" spans="1:30" x14ac:dyDescent="0.25">
      <c r="A56" s="191" t="s">
        <v>128</v>
      </c>
      <c r="B56" s="193" t="s">
        <v>122</v>
      </c>
      <c r="C56" s="378">
        <f>C47+C48+C49</f>
        <v>0.95000000000000007</v>
      </c>
      <c r="D56" s="378">
        <v>0</v>
      </c>
      <c r="E56" s="376">
        <f t="shared" si="10"/>
        <v>0.95000000000000007</v>
      </c>
      <c r="F56" s="376">
        <f t="shared" si="5"/>
        <v>0.95000000000000007</v>
      </c>
      <c r="G56" s="377">
        <v>0</v>
      </c>
      <c r="H56" s="377">
        <v>0.95000000000000007</v>
      </c>
      <c r="I56" s="377">
        <v>0</v>
      </c>
      <c r="J56" s="377">
        <v>0</v>
      </c>
      <c r="K56" s="377">
        <v>0</v>
      </c>
      <c r="L56" s="377">
        <v>0</v>
      </c>
      <c r="M56" s="377">
        <v>0</v>
      </c>
      <c r="N56" s="377">
        <v>0</v>
      </c>
      <c r="O56" s="377">
        <v>0</v>
      </c>
      <c r="P56" s="377">
        <v>0</v>
      </c>
      <c r="Q56" s="377">
        <v>0</v>
      </c>
      <c r="R56" s="377">
        <v>0</v>
      </c>
      <c r="S56" s="377">
        <v>0</v>
      </c>
      <c r="T56" s="377">
        <v>0</v>
      </c>
      <c r="U56" s="377">
        <v>0</v>
      </c>
      <c r="V56" s="377">
        <v>0</v>
      </c>
      <c r="W56" s="377">
        <v>0</v>
      </c>
      <c r="X56" s="377">
        <v>0</v>
      </c>
      <c r="Y56" s="377">
        <v>0</v>
      </c>
      <c r="Z56" s="377">
        <v>0</v>
      </c>
      <c r="AA56" s="377">
        <v>0</v>
      </c>
      <c r="AB56" s="376">
        <f t="shared" si="3"/>
        <v>0.95000000000000007</v>
      </c>
      <c r="AC56" s="372">
        <f t="shared" si="4"/>
        <v>0</v>
      </c>
    </row>
    <row r="57" spans="1:30" ht="18.75" x14ac:dyDescent="0.25">
      <c r="A57" s="191" t="s">
        <v>127</v>
      </c>
      <c r="B57" s="193" t="s">
        <v>523</v>
      </c>
      <c r="C57" s="378">
        <f>C50</f>
        <v>2</v>
      </c>
      <c r="D57" s="378">
        <v>0</v>
      </c>
      <c r="E57" s="376">
        <f t="shared" si="10"/>
        <v>2</v>
      </c>
      <c r="F57" s="376">
        <f t="shared" si="5"/>
        <v>2</v>
      </c>
      <c r="G57" s="377">
        <v>0</v>
      </c>
      <c r="H57" s="377">
        <v>2</v>
      </c>
      <c r="I57" s="377">
        <v>0</v>
      </c>
      <c r="J57" s="377">
        <v>0</v>
      </c>
      <c r="K57" s="377">
        <v>0</v>
      </c>
      <c r="L57" s="377">
        <v>0</v>
      </c>
      <c r="M57" s="377">
        <v>0</v>
      </c>
      <c r="N57" s="377">
        <v>0</v>
      </c>
      <c r="O57" s="377">
        <v>0</v>
      </c>
      <c r="P57" s="377">
        <v>0</v>
      </c>
      <c r="Q57" s="377">
        <v>0</v>
      </c>
      <c r="R57" s="377">
        <v>0</v>
      </c>
      <c r="S57" s="377">
        <v>0</v>
      </c>
      <c r="T57" s="377">
        <v>0</v>
      </c>
      <c r="U57" s="377">
        <v>0</v>
      </c>
      <c r="V57" s="377">
        <v>0</v>
      </c>
      <c r="W57" s="377">
        <v>0</v>
      </c>
      <c r="X57" s="377">
        <v>0</v>
      </c>
      <c r="Y57" s="377">
        <v>0</v>
      </c>
      <c r="Z57" s="377">
        <v>0</v>
      </c>
      <c r="AA57" s="377">
        <v>0</v>
      </c>
      <c r="AB57" s="376">
        <f t="shared" si="3"/>
        <v>2</v>
      </c>
      <c r="AC57" s="372">
        <f t="shared" si="4"/>
        <v>0</v>
      </c>
    </row>
    <row r="58" spans="1:30" s="54" customFormat="1" ht="36.75" customHeight="1" x14ac:dyDescent="0.25">
      <c r="A58" s="189" t="s">
        <v>56</v>
      </c>
      <c r="B58" s="194" t="s">
        <v>201</v>
      </c>
      <c r="C58" s="378">
        <v>0</v>
      </c>
      <c r="D58" s="378">
        <v>0</v>
      </c>
      <c r="E58" s="376">
        <f t="shared" si="10"/>
        <v>0</v>
      </c>
      <c r="F58" s="376">
        <f t="shared" si="5"/>
        <v>0</v>
      </c>
      <c r="G58" s="376">
        <v>0</v>
      </c>
      <c r="H58" s="376">
        <v>0</v>
      </c>
      <c r="I58" s="376">
        <v>0</v>
      </c>
      <c r="J58" s="376">
        <v>0</v>
      </c>
      <c r="K58" s="376">
        <v>0</v>
      </c>
      <c r="L58" s="376">
        <v>0</v>
      </c>
      <c r="M58" s="376">
        <v>0</v>
      </c>
      <c r="N58" s="376">
        <v>0</v>
      </c>
      <c r="O58" s="376">
        <v>0</v>
      </c>
      <c r="P58" s="376">
        <v>0</v>
      </c>
      <c r="Q58" s="376">
        <v>0</v>
      </c>
      <c r="R58" s="376">
        <v>0</v>
      </c>
      <c r="S58" s="376">
        <v>0</v>
      </c>
      <c r="T58" s="376">
        <v>0</v>
      </c>
      <c r="U58" s="376">
        <v>0</v>
      </c>
      <c r="V58" s="376">
        <v>0</v>
      </c>
      <c r="W58" s="376">
        <v>0</v>
      </c>
      <c r="X58" s="376">
        <v>0</v>
      </c>
      <c r="Y58" s="376">
        <v>0</v>
      </c>
      <c r="Z58" s="376">
        <v>0</v>
      </c>
      <c r="AA58" s="376">
        <v>0</v>
      </c>
      <c r="AB58" s="376">
        <f t="shared" si="3"/>
        <v>0</v>
      </c>
      <c r="AC58" s="372">
        <f t="shared" si="4"/>
        <v>0</v>
      </c>
      <c r="AD58" s="16"/>
    </row>
    <row r="59" spans="1:30" s="54" customFormat="1" x14ac:dyDescent="0.25">
      <c r="A59" s="189" t="s">
        <v>54</v>
      </c>
      <c r="B59" s="190" t="s">
        <v>126</v>
      </c>
      <c r="C59" s="376">
        <v>0</v>
      </c>
      <c r="D59" s="376">
        <v>0</v>
      </c>
      <c r="E59" s="376">
        <f t="shared" si="10"/>
        <v>0</v>
      </c>
      <c r="F59" s="376">
        <f t="shared" si="5"/>
        <v>0</v>
      </c>
      <c r="G59" s="376">
        <v>0</v>
      </c>
      <c r="H59" s="376">
        <v>0</v>
      </c>
      <c r="I59" s="376">
        <v>0</v>
      </c>
      <c r="J59" s="376">
        <v>0</v>
      </c>
      <c r="K59" s="376">
        <v>0</v>
      </c>
      <c r="L59" s="376">
        <v>0</v>
      </c>
      <c r="M59" s="376">
        <v>0</v>
      </c>
      <c r="N59" s="376">
        <v>0</v>
      </c>
      <c r="O59" s="376">
        <v>0</v>
      </c>
      <c r="P59" s="376">
        <v>0</v>
      </c>
      <c r="Q59" s="376">
        <v>0</v>
      </c>
      <c r="R59" s="376">
        <v>0</v>
      </c>
      <c r="S59" s="376">
        <v>0</v>
      </c>
      <c r="T59" s="376">
        <v>0</v>
      </c>
      <c r="U59" s="376">
        <v>0</v>
      </c>
      <c r="V59" s="376">
        <v>0</v>
      </c>
      <c r="W59" s="376">
        <v>0</v>
      </c>
      <c r="X59" s="376">
        <v>0</v>
      </c>
      <c r="Y59" s="376">
        <v>0</v>
      </c>
      <c r="Z59" s="376">
        <v>0</v>
      </c>
      <c r="AA59" s="376">
        <v>0</v>
      </c>
      <c r="AB59" s="376">
        <f t="shared" si="3"/>
        <v>0</v>
      </c>
      <c r="AC59" s="372">
        <f t="shared" si="4"/>
        <v>0</v>
      </c>
      <c r="AD59" s="16"/>
    </row>
    <row r="60" spans="1:30" x14ac:dyDescent="0.25">
      <c r="A60" s="191" t="s">
        <v>195</v>
      </c>
      <c r="B60" s="128" t="s">
        <v>146</v>
      </c>
      <c r="C60" s="379">
        <v>0</v>
      </c>
      <c r="D60" s="379">
        <v>0</v>
      </c>
      <c r="E60" s="376">
        <f t="shared" si="10"/>
        <v>0</v>
      </c>
      <c r="F60" s="376">
        <f t="shared" si="5"/>
        <v>0</v>
      </c>
      <c r="G60" s="377">
        <v>0</v>
      </c>
      <c r="H60" s="377">
        <v>0</v>
      </c>
      <c r="I60" s="377">
        <v>0</v>
      </c>
      <c r="J60" s="377">
        <v>0</v>
      </c>
      <c r="K60" s="377">
        <v>0</v>
      </c>
      <c r="L60" s="377">
        <v>0</v>
      </c>
      <c r="M60" s="377">
        <v>0</v>
      </c>
      <c r="N60" s="377">
        <v>0</v>
      </c>
      <c r="O60" s="377">
        <v>0</v>
      </c>
      <c r="P60" s="377">
        <v>0</v>
      </c>
      <c r="Q60" s="377">
        <v>0</v>
      </c>
      <c r="R60" s="377">
        <v>0</v>
      </c>
      <c r="S60" s="377">
        <v>0</v>
      </c>
      <c r="T60" s="377">
        <v>0</v>
      </c>
      <c r="U60" s="377">
        <v>0</v>
      </c>
      <c r="V60" s="377">
        <v>0</v>
      </c>
      <c r="W60" s="377">
        <v>0</v>
      </c>
      <c r="X60" s="377">
        <v>0</v>
      </c>
      <c r="Y60" s="377">
        <v>0</v>
      </c>
      <c r="Z60" s="377">
        <v>0</v>
      </c>
      <c r="AA60" s="377">
        <v>0</v>
      </c>
      <c r="AB60" s="376">
        <f t="shared" si="3"/>
        <v>0</v>
      </c>
      <c r="AC60" s="372">
        <f t="shared" si="4"/>
        <v>0</v>
      </c>
    </row>
    <row r="61" spans="1:30" x14ac:dyDescent="0.25">
      <c r="A61" s="191" t="s">
        <v>196</v>
      </c>
      <c r="B61" s="128" t="s">
        <v>144</v>
      </c>
      <c r="C61" s="379">
        <v>0</v>
      </c>
      <c r="D61" s="379">
        <v>0</v>
      </c>
      <c r="E61" s="376">
        <f t="shared" si="10"/>
        <v>0</v>
      </c>
      <c r="F61" s="376">
        <f t="shared" si="5"/>
        <v>0</v>
      </c>
      <c r="G61" s="377">
        <v>0</v>
      </c>
      <c r="H61" s="377">
        <v>0</v>
      </c>
      <c r="I61" s="377">
        <v>0</v>
      </c>
      <c r="J61" s="377">
        <v>0</v>
      </c>
      <c r="K61" s="377">
        <v>0</v>
      </c>
      <c r="L61" s="377">
        <v>0</v>
      </c>
      <c r="M61" s="377">
        <v>0</v>
      </c>
      <c r="N61" s="377">
        <v>0</v>
      </c>
      <c r="O61" s="377">
        <v>0</v>
      </c>
      <c r="P61" s="377">
        <v>0</v>
      </c>
      <c r="Q61" s="377">
        <v>0</v>
      </c>
      <c r="R61" s="377">
        <v>0</v>
      </c>
      <c r="S61" s="377">
        <v>0</v>
      </c>
      <c r="T61" s="377">
        <v>0</v>
      </c>
      <c r="U61" s="377">
        <v>0</v>
      </c>
      <c r="V61" s="377">
        <v>0</v>
      </c>
      <c r="W61" s="377">
        <v>0</v>
      </c>
      <c r="X61" s="377">
        <v>0</v>
      </c>
      <c r="Y61" s="377">
        <v>0</v>
      </c>
      <c r="Z61" s="377">
        <v>0</v>
      </c>
      <c r="AA61" s="377">
        <v>0</v>
      </c>
      <c r="AB61" s="376">
        <f t="shared" si="3"/>
        <v>0</v>
      </c>
      <c r="AC61" s="372">
        <f t="shared" si="4"/>
        <v>0</v>
      </c>
    </row>
    <row r="62" spans="1:30" x14ac:dyDescent="0.25">
      <c r="A62" s="191" t="s">
        <v>197</v>
      </c>
      <c r="B62" s="128" t="s">
        <v>142</v>
      </c>
      <c r="C62" s="379">
        <v>0</v>
      </c>
      <c r="D62" s="379">
        <v>0</v>
      </c>
      <c r="E62" s="376">
        <f t="shared" si="10"/>
        <v>0</v>
      </c>
      <c r="F62" s="376">
        <f t="shared" si="5"/>
        <v>0</v>
      </c>
      <c r="G62" s="377">
        <v>0</v>
      </c>
      <c r="H62" s="377">
        <v>0</v>
      </c>
      <c r="I62" s="377">
        <v>0</v>
      </c>
      <c r="J62" s="377">
        <v>0</v>
      </c>
      <c r="K62" s="377">
        <v>0</v>
      </c>
      <c r="L62" s="377">
        <v>0</v>
      </c>
      <c r="M62" s="377">
        <v>0</v>
      </c>
      <c r="N62" s="377">
        <v>0</v>
      </c>
      <c r="O62" s="377">
        <v>0</v>
      </c>
      <c r="P62" s="377">
        <v>0</v>
      </c>
      <c r="Q62" s="377">
        <v>0</v>
      </c>
      <c r="R62" s="377">
        <v>0</v>
      </c>
      <c r="S62" s="377">
        <v>0</v>
      </c>
      <c r="T62" s="377">
        <v>0</v>
      </c>
      <c r="U62" s="377">
        <v>0</v>
      </c>
      <c r="V62" s="377">
        <v>0</v>
      </c>
      <c r="W62" s="377">
        <v>0</v>
      </c>
      <c r="X62" s="377">
        <v>0</v>
      </c>
      <c r="Y62" s="377">
        <v>0</v>
      </c>
      <c r="Z62" s="377">
        <v>0</v>
      </c>
      <c r="AA62" s="377">
        <v>0</v>
      </c>
      <c r="AB62" s="376">
        <f t="shared" si="3"/>
        <v>0</v>
      </c>
      <c r="AC62" s="372">
        <f t="shared" si="4"/>
        <v>0</v>
      </c>
    </row>
    <row r="63" spans="1:30" x14ac:dyDescent="0.25">
      <c r="A63" s="191" t="s">
        <v>198</v>
      </c>
      <c r="B63" s="128" t="s">
        <v>200</v>
      </c>
      <c r="C63" s="379">
        <v>0</v>
      </c>
      <c r="D63" s="379">
        <v>0</v>
      </c>
      <c r="E63" s="376">
        <f t="shared" si="10"/>
        <v>0</v>
      </c>
      <c r="F63" s="376">
        <f t="shared" si="5"/>
        <v>0</v>
      </c>
      <c r="G63" s="377">
        <v>0</v>
      </c>
      <c r="H63" s="377">
        <v>0</v>
      </c>
      <c r="I63" s="377">
        <v>0</v>
      </c>
      <c r="J63" s="377">
        <v>0</v>
      </c>
      <c r="K63" s="377">
        <v>0</v>
      </c>
      <c r="L63" s="377">
        <v>0</v>
      </c>
      <c r="M63" s="377">
        <v>0</v>
      </c>
      <c r="N63" s="377">
        <v>0</v>
      </c>
      <c r="O63" s="377">
        <v>0</v>
      </c>
      <c r="P63" s="377">
        <v>0</v>
      </c>
      <c r="Q63" s="377">
        <v>0</v>
      </c>
      <c r="R63" s="377">
        <v>0</v>
      </c>
      <c r="S63" s="377">
        <v>0</v>
      </c>
      <c r="T63" s="377">
        <v>0</v>
      </c>
      <c r="U63" s="377">
        <v>0</v>
      </c>
      <c r="V63" s="377">
        <v>0</v>
      </c>
      <c r="W63" s="377">
        <v>0</v>
      </c>
      <c r="X63" s="377">
        <v>0</v>
      </c>
      <c r="Y63" s="377">
        <v>0</v>
      </c>
      <c r="Z63" s="377">
        <v>0</v>
      </c>
      <c r="AA63" s="377">
        <v>0</v>
      </c>
      <c r="AB63" s="376">
        <f t="shared" si="3"/>
        <v>0</v>
      </c>
      <c r="AC63" s="372">
        <f t="shared" si="4"/>
        <v>0</v>
      </c>
    </row>
    <row r="64" spans="1:30" ht="18.75" x14ac:dyDescent="0.25">
      <c r="A64" s="191" t="s">
        <v>199</v>
      </c>
      <c r="B64" s="193" t="s">
        <v>524</v>
      </c>
      <c r="C64" s="378">
        <v>0</v>
      </c>
      <c r="D64" s="378">
        <v>0</v>
      </c>
      <c r="E64" s="376">
        <f t="shared" si="10"/>
        <v>0</v>
      </c>
      <c r="F64" s="376">
        <f t="shared" si="5"/>
        <v>0</v>
      </c>
      <c r="G64" s="377">
        <v>0</v>
      </c>
      <c r="H64" s="377">
        <v>0</v>
      </c>
      <c r="I64" s="377">
        <v>0</v>
      </c>
      <c r="J64" s="377">
        <v>0</v>
      </c>
      <c r="K64" s="377">
        <v>0</v>
      </c>
      <c r="L64" s="377">
        <v>0</v>
      </c>
      <c r="M64" s="377">
        <v>0</v>
      </c>
      <c r="N64" s="377">
        <v>0</v>
      </c>
      <c r="O64" s="377">
        <v>0</v>
      </c>
      <c r="P64" s="377">
        <v>0</v>
      </c>
      <c r="Q64" s="377">
        <v>0</v>
      </c>
      <c r="R64" s="377">
        <v>0</v>
      </c>
      <c r="S64" s="377">
        <v>0</v>
      </c>
      <c r="T64" s="377">
        <v>0</v>
      </c>
      <c r="U64" s="377">
        <v>0</v>
      </c>
      <c r="V64" s="377">
        <v>0</v>
      </c>
      <c r="W64" s="377">
        <v>0</v>
      </c>
      <c r="X64" s="377">
        <v>0</v>
      </c>
      <c r="Y64" s="377">
        <v>0</v>
      </c>
      <c r="Z64" s="377">
        <v>0</v>
      </c>
      <c r="AA64" s="377">
        <v>0</v>
      </c>
      <c r="AB64" s="376">
        <f t="shared" si="3"/>
        <v>0</v>
      </c>
      <c r="AC64" s="372">
        <f t="shared" si="4"/>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481"/>
      <c r="C66" s="481"/>
      <c r="D66" s="481"/>
      <c r="E66" s="481"/>
      <c r="F66" s="481"/>
      <c r="G66" s="481"/>
      <c r="H66" s="481"/>
      <c r="I66" s="481"/>
      <c r="J66" s="481"/>
      <c r="K66" s="481"/>
      <c r="L66" s="481"/>
      <c r="M66" s="481"/>
      <c r="N66" s="481"/>
      <c r="O66" s="481"/>
      <c r="P66" s="481"/>
      <c r="Q66" s="481"/>
      <c r="R66" s="166"/>
      <c r="S66" s="166"/>
      <c r="T66" s="166"/>
      <c r="U66" s="166"/>
      <c r="V66" s="166"/>
      <c r="W66" s="166"/>
      <c r="X66" s="166"/>
      <c r="Y66" s="166"/>
      <c r="Z66" s="166"/>
      <c r="AA66" s="166"/>
      <c r="AB66" s="20"/>
    </row>
    <row r="67" spans="1:28" x14ac:dyDescent="0.25">
      <c r="A67" s="17"/>
      <c r="B67" s="17"/>
      <c r="C67" s="17"/>
      <c r="D67" s="17"/>
      <c r="E67" s="17"/>
      <c r="F67" s="17"/>
      <c r="AB67" s="17"/>
    </row>
    <row r="68" spans="1:28" ht="50.25" customHeight="1" x14ac:dyDescent="0.25">
      <c r="A68" s="17"/>
      <c r="B68" s="482"/>
      <c r="C68" s="482"/>
      <c r="D68" s="482"/>
      <c r="E68" s="482"/>
      <c r="F68" s="482"/>
      <c r="G68" s="482"/>
      <c r="H68" s="482"/>
      <c r="I68" s="482"/>
      <c r="J68" s="482"/>
      <c r="K68" s="482"/>
      <c r="L68" s="482"/>
      <c r="M68" s="482"/>
      <c r="N68" s="482"/>
      <c r="O68" s="482"/>
      <c r="P68" s="482"/>
      <c r="Q68" s="482"/>
      <c r="R68" s="167"/>
      <c r="S68" s="167"/>
      <c r="T68" s="167"/>
      <c r="U68" s="167"/>
      <c r="V68" s="167"/>
      <c r="W68" s="167"/>
      <c r="X68" s="167"/>
      <c r="Y68" s="167"/>
      <c r="Z68" s="167"/>
      <c r="AA68" s="167"/>
      <c r="AB68" s="17"/>
    </row>
    <row r="69" spans="1:28" x14ac:dyDescent="0.25">
      <c r="A69" s="17"/>
      <c r="B69" s="17"/>
      <c r="C69" s="17"/>
      <c r="D69" s="17"/>
      <c r="E69" s="17"/>
      <c r="F69" s="17"/>
      <c r="AB69" s="17"/>
    </row>
    <row r="70" spans="1:28" ht="36.75" customHeight="1" x14ac:dyDescent="0.25">
      <c r="A70" s="17"/>
      <c r="B70" s="481"/>
      <c r="C70" s="481"/>
      <c r="D70" s="481"/>
      <c r="E70" s="481"/>
      <c r="F70" s="481"/>
      <c r="G70" s="481"/>
      <c r="H70" s="481"/>
      <c r="I70" s="481"/>
      <c r="J70" s="481"/>
      <c r="K70" s="481"/>
      <c r="L70" s="481"/>
      <c r="M70" s="481"/>
      <c r="N70" s="481"/>
      <c r="O70" s="481"/>
      <c r="P70" s="481"/>
      <c r="Q70" s="481"/>
      <c r="R70" s="166"/>
      <c r="S70" s="166"/>
      <c r="T70" s="166"/>
      <c r="U70" s="166"/>
      <c r="V70" s="166"/>
      <c r="W70" s="166"/>
      <c r="X70" s="166"/>
      <c r="Y70" s="166"/>
      <c r="Z70" s="166"/>
      <c r="AA70" s="166"/>
      <c r="AB70" s="17"/>
    </row>
    <row r="71" spans="1:28" x14ac:dyDescent="0.25">
      <c r="A71" s="17"/>
      <c r="B71" s="19"/>
      <c r="C71" s="19"/>
      <c r="D71" s="19"/>
      <c r="E71" s="19"/>
      <c r="F71" s="19"/>
      <c r="AB71" s="17"/>
    </row>
    <row r="72" spans="1:28" ht="51" customHeight="1" x14ac:dyDescent="0.25">
      <c r="A72" s="17"/>
      <c r="B72" s="481"/>
      <c r="C72" s="481"/>
      <c r="D72" s="481"/>
      <c r="E72" s="481"/>
      <c r="F72" s="481"/>
      <c r="G72" s="481"/>
      <c r="H72" s="481"/>
      <c r="I72" s="481"/>
      <c r="J72" s="481"/>
      <c r="K72" s="481"/>
      <c r="L72" s="481"/>
      <c r="M72" s="481"/>
      <c r="N72" s="481"/>
      <c r="O72" s="481"/>
      <c r="P72" s="481"/>
      <c r="Q72" s="481"/>
      <c r="R72" s="166"/>
      <c r="S72" s="166"/>
      <c r="T72" s="166"/>
      <c r="U72" s="166"/>
      <c r="V72" s="166"/>
      <c r="W72" s="166"/>
      <c r="X72" s="166"/>
      <c r="Y72" s="166"/>
      <c r="Z72" s="166"/>
      <c r="AA72" s="166"/>
      <c r="AB72" s="17"/>
    </row>
    <row r="73" spans="1:28" ht="32.25" customHeight="1" x14ac:dyDescent="0.25">
      <c r="A73" s="17"/>
      <c r="B73" s="482"/>
      <c r="C73" s="482"/>
      <c r="D73" s="482"/>
      <c r="E73" s="482"/>
      <c r="F73" s="482"/>
      <c r="G73" s="482"/>
      <c r="H73" s="482"/>
      <c r="I73" s="482"/>
      <c r="J73" s="482"/>
      <c r="K73" s="482"/>
      <c r="L73" s="482"/>
      <c r="M73" s="482"/>
      <c r="N73" s="482"/>
      <c r="O73" s="482"/>
      <c r="P73" s="482"/>
      <c r="Q73" s="482"/>
      <c r="R73" s="167"/>
      <c r="S73" s="167"/>
      <c r="T73" s="167"/>
      <c r="U73" s="167"/>
      <c r="V73" s="167"/>
      <c r="W73" s="167"/>
      <c r="X73" s="167"/>
      <c r="Y73" s="167"/>
      <c r="Z73" s="167"/>
      <c r="AA73" s="167"/>
      <c r="AB73" s="17"/>
    </row>
    <row r="74" spans="1:28" ht="51.75" customHeight="1" x14ac:dyDescent="0.25">
      <c r="A74" s="17"/>
      <c r="B74" s="481"/>
      <c r="C74" s="481"/>
      <c r="D74" s="481"/>
      <c r="E74" s="481"/>
      <c r="F74" s="481"/>
      <c r="G74" s="481"/>
      <c r="H74" s="481"/>
      <c r="I74" s="481"/>
      <c r="J74" s="481"/>
      <c r="K74" s="481"/>
      <c r="L74" s="481"/>
      <c r="M74" s="481"/>
      <c r="N74" s="481"/>
      <c r="O74" s="481"/>
      <c r="P74" s="481"/>
      <c r="Q74" s="481"/>
      <c r="R74" s="166"/>
      <c r="S74" s="166"/>
      <c r="T74" s="166"/>
      <c r="U74" s="166"/>
      <c r="V74" s="166"/>
      <c r="W74" s="166"/>
      <c r="X74" s="166"/>
      <c r="Y74" s="166"/>
      <c r="Z74" s="166"/>
      <c r="AA74" s="166"/>
      <c r="AB74" s="17"/>
    </row>
    <row r="75" spans="1:28" ht="21.75" customHeight="1" x14ac:dyDescent="0.25">
      <c r="A75" s="17"/>
      <c r="B75" s="484"/>
      <c r="C75" s="484"/>
      <c r="D75" s="484"/>
      <c r="E75" s="484"/>
      <c r="F75" s="484"/>
      <c r="G75" s="484"/>
      <c r="H75" s="484"/>
      <c r="I75" s="484"/>
      <c r="J75" s="484"/>
      <c r="K75" s="484"/>
      <c r="L75" s="484"/>
      <c r="M75" s="484"/>
      <c r="N75" s="484"/>
      <c r="O75" s="484"/>
      <c r="P75" s="484"/>
      <c r="Q75" s="484"/>
      <c r="R75" s="164"/>
      <c r="S75" s="164"/>
      <c r="T75" s="164"/>
      <c r="U75" s="164"/>
      <c r="V75" s="164"/>
      <c r="W75" s="164"/>
      <c r="X75" s="164"/>
      <c r="Y75" s="164"/>
      <c r="Z75" s="164"/>
      <c r="AA75" s="164"/>
      <c r="AB75" s="17"/>
    </row>
    <row r="76" spans="1:28" ht="23.25" customHeight="1" x14ac:dyDescent="0.25">
      <c r="A76" s="17"/>
      <c r="B76" s="18"/>
      <c r="C76" s="18"/>
      <c r="D76" s="18"/>
      <c r="E76" s="18"/>
      <c r="F76" s="18"/>
      <c r="AB76" s="17"/>
    </row>
    <row r="77" spans="1:28" ht="18.75" customHeight="1" x14ac:dyDescent="0.25">
      <c r="A77" s="17"/>
      <c r="B77" s="483"/>
      <c r="C77" s="483"/>
      <c r="D77" s="483"/>
      <c r="E77" s="483"/>
      <c r="F77" s="483"/>
      <c r="G77" s="483"/>
      <c r="H77" s="483"/>
      <c r="I77" s="483"/>
      <c r="J77" s="483"/>
      <c r="K77" s="483"/>
      <c r="L77" s="483"/>
      <c r="M77" s="483"/>
      <c r="N77" s="483"/>
      <c r="O77" s="483"/>
      <c r="P77" s="483"/>
      <c r="Q77" s="483"/>
      <c r="R77" s="165"/>
      <c r="S77" s="165"/>
      <c r="T77" s="165"/>
      <c r="U77" s="165"/>
      <c r="V77" s="165"/>
      <c r="W77" s="165"/>
      <c r="X77" s="165"/>
      <c r="Y77" s="165"/>
      <c r="Z77" s="165"/>
      <c r="AA77" s="165"/>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AB20:AC21"/>
    <mergeCell ref="P21:Q21"/>
    <mergeCell ref="R21:S21"/>
    <mergeCell ref="T21:U21"/>
    <mergeCell ref="V21:W21"/>
    <mergeCell ref="E20:F21"/>
    <mergeCell ref="G20:G22"/>
    <mergeCell ref="P20:S20"/>
    <mergeCell ref="T20:W20"/>
    <mergeCell ref="X20:AA20"/>
    <mergeCell ref="A4:AC4"/>
    <mergeCell ref="A6:AC6"/>
    <mergeCell ref="A8:AC8"/>
    <mergeCell ref="A9:AC9"/>
    <mergeCell ref="A11:AC11"/>
    <mergeCell ref="A12:AC12"/>
    <mergeCell ref="A14:AC14"/>
    <mergeCell ref="X21:Y21"/>
    <mergeCell ref="Z21:AA21"/>
    <mergeCell ref="H20:K20"/>
    <mergeCell ref="L20:O20"/>
    <mergeCell ref="H21:I21"/>
    <mergeCell ref="J21:K21"/>
    <mergeCell ref="L21:M21"/>
    <mergeCell ref="N21:O21"/>
    <mergeCell ref="A15:AC15"/>
    <mergeCell ref="A16:AC16"/>
    <mergeCell ref="A18:AC18"/>
    <mergeCell ref="A20:A22"/>
    <mergeCell ref="B20:B22"/>
    <mergeCell ref="C20:D21"/>
    <mergeCell ref="B66:Q66"/>
    <mergeCell ref="B73:Q73"/>
    <mergeCell ref="B77:Q77"/>
    <mergeCell ref="B68:Q68"/>
    <mergeCell ref="B70:Q70"/>
    <mergeCell ref="B72:Q72"/>
    <mergeCell ref="B74:Q74"/>
    <mergeCell ref="B75:Q75"/>
  </mergeCells>
  <conditionalFormatting sqref="H25:H29 H31:H34 L30:AB30 L24:AB24 G35:H64 K31:AB64 K25:AB29 D24:E64">
    <cfRule type="cellIs" dxfId="12" priority="18" operator="notEqual">
      <formula>0</formula>
    </cfRule>
  </conditionalFormatting>
  <conditionalFormatting sqref="AC24:AC64">
    <cfRule type="cellIs" dxfId="11" priority="17" operator="notEqual">
      <formula>0</formula>
    </cfRule>
  </conditionalFormatting>
  <conditionalFormatting sqref="L24:S29 L31:S64">
    <cfRule type="cellIs" dxfId="10" priority="16" operator="notEqual">
      <formula>0</formula>
    </cfRule>
  </conditionalFormatting>
  <conditionalFormatting sqref="G24:G34 H30 H24 K24 K30">
    <cfRule type="cellIs" dxfId="9" priority="13" operator="notEqual">
      <formula>0</formula>
    </cfRule>
  </conditionalFormatting>
  <conditionalFormatting sqref="G24:G29 G31:G34 H24 K24">
    <cfRule type="cellIs" dxfId="8" priority="12" operator="notEqual">
      <formula>0</formula>
    </cfRule>
  </conditionalFormatting>
  <conditionalFormatting sqref="C24:C64">
    <cfRule type="cellIs" dxfId="7" priority="11" operator="notEqual">
      <formula>0</formula>
    </cfRule>
  </conditionalFormatting>
  <conditionalFormatting sqref="J24:J64">
    <cfRule type="cellIs" dxfId="6" priority="10" operator="notEqual">
      <formula>0</formula>
    </cfRule>
  </conditionalFormatting>
  <conditionalFormatting sqref="J24:J29 J31:J64">
    <cfRule type="cellIs" dxfId="5" priority="9"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I24:I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3" zoomScale="85" zoomScaleSheetLayoutView="85" workbookViewId="0">
      <selection activeCell="D27" sqref="D27"/>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19.42578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39" width="9.7109375" style="129" customWidth="1"/>
    <col min="40" max="40" width="12.85546875" style="129" customWidth="1"/>
    <col min="41"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27" style="129" customWidth="1"/>
    <col min="49" max="16384" width="9.140625" style="129"/>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397" t="str">
        <f>'1. паспорт местоположение'!A5:C5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s="195" customFormat="1" ht="18.75" x14ac:dyDescent="0.3">
      <c r="AV6" s="1"/>
    </row>
    <row r="7" spans="1:48" s="195" customFormat="1" ht="18.75" x14ac:dyDescent="0.25">
      <c r="A7" s="460" t="s">
        <v>7</v>
      </c>
      <c r="B7" s="460"/>
      <c r="C7" s="460"/>
      <c r="D7" s="460"/>
      <c r="E7" s="460"/>
      <c r="F7" s="460"/>
      <c r="G7" s="460"/>
      <c r="H7" s="460"/>
      <c r="I7" s="460"/>
      <c r="J7" s="460"/>
      <c r="K7" s="460"/>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460"/>
      <c r="AP7" s="460"/>
      <c r="AQ7" s="460"/>
      <c r="AR7" s="460"/>
      <c r="AS7" s="460"/>
      <c r="AT7" s="460"/>
      <c r="AU7" s="460"/>
      <c r="AV7" s="460"/>
    </row>
    <row r="8" spans="1:48" s="195" customFormat="1" ht="18.75" x14ac:dyDescent="0.25">
      <c r="A8" s="460"/>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c r="AD8" s="460"/>
      <c r="AE8" s="460"/>
      <c r="AF8" s="460"/>
      <c r="AG8" s="460"/>
      <c r="AH8" s="460"/>
      <c r="AI8" s="460"/>
      <c r="AJ8" s="460"/>
      <c r="AK8" s="460"/>
      <c r="AL8" s="460"/>
      <c r="AM8" s="460"/>
      <c r="AN8" s="460"/>
      <c r="AO8" s="460"/>
      <c r="AP8" s="460"/>
      <c r="AQ8" s="460"/>
      <c r="AR8" s="460"/>
      <c r="AS8" s="460"/>
      <c r="AT8" s="460"/>
      <c r="AU8" s="460"/>
      <c r="AV8" s="460"/>
    </row>
    <row r="9" spans="1:48" s="195" customFormat="1" x14ac:dyDescent="0.25">
      <c r="A9" s="500" t="str">
        <f>'1. паспорт местоположение'!A9:C9</f>
        <v>Акционерное общество "Россети Янтарь" ДЗО  ПАО "Россети"</v>
      </c>
      <c r="B9" s="500"/>
      <c r="C9" s="500"/>
      <c r="D9" s="500"/>
      <c r="E9" s="500"/>
      <c r="F9" s="500"/>
      <c r="G9" s="500"/>
      <c r="H9" s="500"/>
      <c r="I9" s="500"/>
      <c r="J9" s="500"/>
      <c r="K9" s="500"/>
      <c r="L9" s="500"/>
      <c r="M9" s="500"/>
      <c r="N9" s="500"/>
      <c r="O9" s="500"/>
      <c r="P9" s="500"/>
      <c r="Q9" s="500"/>
      <c r="R9" s="500"/>
      <c r="S9" s="500"/>
      <c r="T9" s="500"/>
      <c r="U9" s="500"/>
      <c r="V9" s="500"/>
      <c r="W9" s="500"/>
      <c r="X9" s="500"/>
      <c r="Y9" s="500"/>
      <c r="Z9" s="500"/>
      <c r="AA9" s="500"/>
      <c r="AB9" s="500"/>
      <c r="AC9" s="500"/>
      <c r="AD9" s="500"/>
      <c r="AE9" s="500"/>
      <c r="AF9" s="500"/>
      <c r="AG9" s="500"/>
      <c r="AH9" s="500"/>
      <c r="AI9" s="500"/>
      <c r="AJ9" s="500"/>
      <c r="AK9" s="500"/>
      <c r="AL9" s="500"/>
      <c r="AM9" s="500"/>
      <c r="AN9" s="500"/>
      <c r="AO9" s="500"/>
      <c r="AP9" s="500"/>
      <c r="AQ9" s="500"/>
      <c r="AR9" s="500"/>
      <c r="AS9" s="500"/>
      <c r="AT9" s="500"/>
      <c r="AU9" s="500"/>
      <c r="AV9" s="500"/>
    </row>
    <row r="10" spans="1:48" s="195" customFormat="1" ht="15.75" x14ac:dyDescent="0.25">
      <c r="A10" s="462" t="s">
        <v>6</v>
      </c>
      <c r="B10" s="462"/>
      <c r="C10" s="462"/>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A10" s="462"/>
      <c r="AB10" s="462"/>
      <c r="AC10" s="462"/>
      <c r="AD10" s="462"/>
      <c r="AE10" s="462"/>
      <c r="AF10" s="462"/>
      <c r="AG10" s="462"/>
      <c r="AH10" s="462"/>
      <c r="AI10" s="462"/>
      <c r="AJ10" s="462"/>
      <c r="AK10" s="462"/>
      <c r="AL10" s="462"/>
      <c r="AM10" s="462"/>
      <c r="AN10" s="462"/>
      <c r="AO10" s="462"/>
      <c r="AP10" s="462"/>
      <c r="AQ10" s="462"/>
      <c r="AR10" s="462"/>
      <c r="AS10" s="462"/>
      <c r="AT10" s="462"/>
      <c r="AU10" s="462"/>
      <c r="AV10" s="462"/>
    </row>
    <row r="11" spans="1:48" s="195" customFormat="1" ht="18.75" x14ac:dyDescent="0.25">
      <c r="A11" s="460"/>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0"/>
      <c r="AL11" s="460"/>
      <c r="AM11" s="460"/>
      <c r="AN11" s="460"/>
      <c r="AO11" s="460"/>
      <c r="AP11" s="460"/>
      <c r="AQ11" s="460"/>
      <c r="AR11" s="460"/>
      <c r="AS11" s="460"/>
      <c r="AT11" s="460"/>
      <c r="AU11" s="460"/>
      <c r="AV11" s="460"/>
    </row>
    <row r="12" spans="1:48" s="195" customFormat="1" x14ac:dyDescent="0.25">
      <c r="A12" s="500" t="str">
        <f>'1. паспорт местоположение'!A12:C12</f>
        <v>N_21-1806</v>
      </c>
      <c r="B12" s="500"/>
      <c r="C12" s="500"/>
      <c r="D12" s="500"/>
      <c r="E12" s="500"/>
      <c r="F12" s="500"/>
      <c r="G12" s="500"/>
      <c r="H12" s="500"/>
      <c r="I12" s="500"/>
      <c r="J12" s="500"/>
      <c r="K12" s="500"/>
      <c r="L12" s="500"/>
      <c r="M12" s="500"/>
      <c r="N12" s="500"/>
      <c r="O12" s="500"/>
      <c r="P12" s="500"/>
      <c r="Q12" s="500"/>
      <c r="R12" s="500"/>
      <c r="S12" s="500"/>
      <c r="T12" s="500"/>
      <c r="U12" s="500"/>
      <c r="V12" s="500"/>
      <c r="W12" s="500"/>
      <c r="X12" s="500"/>
      <c r="Y12" s="500"/>
      <c r="Z12" s="500"/>
      <c r="AA12" s="500"/>
      <c r="AB12" s="500"/>
      <c r="AC12" s="500"/>
      <c r="AD12" s="500"/>
      <c r="AE12" s="500"/>
      <c r="AF12" s="500"/>
      <c r="AG12" s="500"/>
      <c r="AH12" s="500"/>
      <c r="AI12" s="500"/>
      <c r="AJ12" s="500"/>
      <c r="AK12" s="500"/>
      <c r="AL12" s="500"/>
      <c r="AM12" s="500"/>
      <c r="AN12" s="500"/>
      <c r="AO12" s="500"/>
      <c r="AP12" s="500"/>
      <c r="AQ12" s="500"/>
      <c r="AR12" s="500"/>
      <c r="AS12" s="500"/>
      <c r="AT12" s="500"/>
      <c r="AU12" s="500"/>
      <c r="AV12" s="500"/>
    </row>
    <row r="13" spans="1:48" s="195" customFormat="1" ht="15.75" x14ac:dyDescent="0.25">
      <c r="A13" s="462" t="s">
        <v>5</v>
      </c>
      <c r="B13" s="462"/>
      <c r="C13" s="462"/>
      <c r="D13" s="462"/>
      <c r="E13" s="462"/>
      <c r="F13" s="462"/>
      <c r="G13" s="462"/>
      <c r="H13" s="462"/>
      <c r="I13" s="462"/>
      <c r="J13" s="462"/>
      <c r="K13" s="462"/>
      <c r="L13" s="462"/>
      <c r="M13" s="462"/>
      <c r="N13" s="462"/>
      <c r="O13" s="462"/>
      <c r="P13" s="462"/>
      <c r="Q13" s="462"/>
      <c r="R13" s="462"/>
      <c r="S13" s="462"/>
      <c r="T13" s="462"/>
      <c r="U13" s="462"/>
      <c r="V13" s="462"/>
      <c r="W13" s="462"/>
      <c r="X13" s="462"/>
      <c r="Y13" s="462"/>
      <c r="Z13" s="462"/>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row>
    <row r="14" spans="1:48" s="195" customFormat="1" ht="18.75" x14ac:dyDescent="0.25">
      <c r="A14" s="501"/>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row>
    <row r="15" spans="1:48" s="195" customFormat="1" x14ac:dyDescent="0.25">
      <c r="A15" s="500" t="str">
        <f>'1. паспорт местоположение'!A15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c r="AC15" s="500"/>
      <c r="AD15" s="500"/>
      <c r="AE15" s="500"/>
      <c r="AF15" s="500"/>
      <c r="AG15" s="500"/>
      <c r="AH15" s="500"/>
      <c r="AI15" s="500"/>
      <c r="AJ15" s="500"/>
      <c r="AK15" s="500"/>
      <c r="AL15" s="500"/>
      <c r="AM15" s="500"/>
      <c r="AN15" s="500"/>
      <c r="AO15" s="500"/>
      <c r="AP15" s="500"/>
      <c r="AQ15" s="500"/>
      <c r="AR15" s="500"/>
      <c r="AS15" s="500"/>
      <c r="AT15" s="500"/>
      <c r="AU15" s="500"/>
      <c r="AV15" s="500"/>
    </row>
    <row r="16" spans="1:48" s="195" customFormat="1" ht="15.75" x14ac:dyDescent="0.25">
      <c r="A16" s="462" t="s">
        <v>4</v>
      </c>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c r="AE16" s="462"/>
      <c r="AF16" s="462"/>
      <c r="AG16" s="462"/>
      <c r="AH16" s="462"/>
      <c r="AI16" s="462"/>
      <c r="AJ16" s="462"/>
      <c r="AK16" s="462"/>
      <c r="AL16" s="462"/>
      <c r="AM16" s="462"/>
      <c r="AN16" s="462"/>
      <c r="AO16" s="462"/>
      <c r="AP16" s="462"/>
      <c r="AQ16" s="462"/>
      <c r="AR16" s="462"/>
      <c r="AS16" s="462"/>
      <c r="AT16" s="462"/>
      <c r="AU16" s="462"/>
      <c r="AV16" s="462"/>
    </row>
    <row r="17" spans="1:48" s="195" customFormat="1"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498"/>
      <c r="AB17" s="498"/>
      <c r="AC17" s="498"/>
      <c r="AD17" s="498"/>
      <c r="AE17" s="498"/>
      <c r="AF17" s="498"/>
      <c r="AG17" s="498"/>
      <c r="AH17" s="498"/>
      <c r="AI17" s="498"/>
      <c r="AJ17" s="498"/>
      <c r="AK17" s="498"/>
      <c r="AL17" s="498"/>
      <c r="AM17" s="498"/>
      <c r="AN17" s="498"/>
      <c r="AO17" s="498"/>
      <c r="AP17" s="498"/>
      <c r="AQ17" s="498"/>
      <c r="AR17" s="498"/>
      <c r="AS17" s="498"/>
      <c r="AT17" s="498"/>
      <c r="AU17" s="498"/>
      <c r="AV17" s="498"/>
    </row>
    <row r="18" spans="1:48" s="195" customFormat="1" ht="14.25" customHeight="1"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c r="AH18" s="498"/>
      <c r="AI18" s="498"/>
      <c r="AJ18" s="498"/>
      <c r="AK18" s="498"/>
      <c r="AL18" s="498"/>
      <c r="AM18" s="498"/>
      <c r="AN18" s="498"/>
      <c r="AO18" s="498"/>
      <c r="AP18" s="498"/>
      <c r="AQ18" s="498"/>
      <c r="AR18" s="498"/>
      <c r="AS18" s="498"/>
      <c r="AT18" s="498"/>
      <c r="AU18" s="498"/>
      <c r="AV18" s="498"/>
    </row>
    <row r="19" spans="1:48" s="195" customFormat="1"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c r="AH19" s="498"/>
      <c r="AI19" s="498"/>
      <c r="AJ19" s="498"/>
      <c r="AK19" s="498"/>
      <c r="AL19" s="498"/>
      <c r="AM19" s="498"/>
      <c r="AN19" s="498"/>
      <c r="AO19" s="498"/>
      <c r="AP19" s="498"/>
      <c r="AQ19" s="498"/>
      <c r="AR19" s="498"/>
      <c r="AS19" s="498"/>
      <c r="AT19" s="498"/>
      <c r="AU19" s="498"/>
      <c r="AV19" s="498"/>
    </row>
    <row r="20" spans="1:48" s="196" customFormat="1"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499"/>
      <c r="AB20" s="499"/>
      <c r="AC20" s="499"/>
      <c r="AD20" s="499"/>
      <c r="AE20" s="499"/>
      <c r="AF20" s="499"/>
      <c r="AG20" s="499"/>
      <c r="AH20" s="499"/>
      <c r="AI20" s="499"/>
      <c r="AJ20" s="499"/>
      <c r="AK20" s="499"/>
      <c r="AL20" s="499"/>
      <c r="AM20" s="499"/>
      <c r="AN20" s="499"/>
      <c r="AO20" s="499"/>
      <c r="AP20" s="499"/>
      <c r="AQ20" s="499"/>
      <c r="AR20" s="499"/>
      <c r="AS20" s="499"/>
      <c r="AT20" s="499"/>
      <c r="AU20" s="499"/>
      <c r="AV20" s="499"/>
    </row>
    <row r="21" spans="1:48" s="196" customFormat="1" x14ac:dyDescent="0.25">
      <c r="A21" s="502" t="s">
        <v>372</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130" customFormat="1" ht="58.5" customHeight="1" x14ac:dyDescent="0.25">
      <c r="A22" s="503" t="s">
        <v>50</v>
      </c>
      <c r="B22" s="506" t="s">
        <v>22</v>
      </c>
      <c r="C22" s="503" t="s">
        <v>49</v>
      </c>
      <c r="D22" s="503" t="s">
        <v>48</v>
      </c>
      <c r="E22" s="509" t="s">
        <v>381</v>
      </c>
      <c r="F22" s="510"/>
      <c r="G22" s="510"/>
      <c r="H22" s="510"/>
      <c r="I22" s="510"/>
      <c r="J22" s="510"/>
      <c r="K22" s="510"/>
      <c r="L22" s="511"/>
      <c r="M22" s="503" t="s">
        <v>47</v>
      </c>
      <c r="N22" s="503" t="s">
        <v>46</v>
      </c>
      <c r="O22" s="503" t="s">
        <v>45</v>
      </c>
      <c r="P22" s="512" t="s">
        <v>208</v>
      </c>
      <c r="Q22" s="512" t="s">
        <v>44</v>
      </c>
      <c r="R22" s="512" t="s">
        <v>43</v>
      </c>
      <c r="S22" s="512" t="s">
        <v>42</v>
      </c>
      <c r="T22" s="512"/>
      <c r="U22" s="513" t="s">
        <v>41</v>
      </c>
      <c r="V22" s="513" t="s">
        <v>40</v>
      </c>
      <c r="W22" s="512" t="s">
        <v>39</v>
      </c>
      <c r="X22" s="512" t="s">
        <v>38</v>
      </c>
      <c r="Y22" s="512" t="s">
        <v>37</v>
      </c>
      <c r="Z22" s="524"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12" t="s">
        <v>23</v>
      </c>
    </row>
    <row r="23" spans="1:48" s="130" customFormat="1" ht="64.5" customHeight="1" x14ac:dyDescent="0.25">
      <c r="A23" s="504"/>
      <c r="B23" s="507"/>
      <c r="C23" s="504"/>
      <c r="D23" s="504"/>
      <c r="E23" s="516" t="s">
        <v>21</v>
      </c>
      <c r="F23" s="518" t="s">
        <v>125</v>
      </c>
      <c r="G23" s="518" t="s">
        <v>124</v>
      </c>
      <c r="H23" s="518" t="s">
        <v>123</v>
      </c>
      <c r="I23" s="522" t="s">
        <v>318</v>
      </c>
      <c r="J23" s="522" t="s">
        <v>319</v>
      </c>
      <c r="K23" s="522" t="s">
        <v>320</v>
      </c>
      <c r="L23" s="518" t="s">
        <v>74</v>
      </c>
      <c r="M23" s="504"/>
      <c r="N23" s="504"/>
      <c r="O23" s="504"/>
      <c r="P23" s="512"/>
      <c r="Q23" s="512"/>
      <c r="R23" s="512"/>
      <c r="S23" s="520" t="s">
        <v>2</v>
      </c>
      <c r="T23" s="520" t="s">
        <v>9</v>
      </c>
      <c r="U23" s="513"/>
      <c r="V23" s="513"/>
      <c r="W23" s="512"/>
      <c r="X23" s="512"/>
      <c r="Y23" s="512"/>
      <c r="Z23" s="512"/>
      <c r="AA23" s="512"/>
      <c r="AB23" s="512"/>
      <c r="AC23" s="512"/>
      <c r="AD23" s="512"/>
      <c r="AE23" s="512"/>
      <c r="AF23" s="512" t="s">
        <v>20</v>
      </c>
      <c r="AG23" s="512"/>
      <c r="AH23" s="512" t="s">
        <v>19</v>
      </c>
      <c r="AI23" s="512"/>
      <c r="AJ23" s="503" t="s">
        <v>18</v>
      </c>
      <c r="AK23" s="503" t="s">
        <v>17</v>
      </c>
      <c r="AL23" s="503" t="s">
        <v>16</v>
      </c>
      <c r="AM23" s="503" t="s">
        <v>15</v>
      </c>
      <c r="AN23" s="503" t="s">
        <v>14</v>
      </c>
      <c r="AO23" s="503" t="s">
        <v>13</v>
      </c>
      <c r="AP23" s="503" t="s">
        <v>12</v>
      </c>
      <c r="AQ23" s="514" t="s">
        <v>9</v>
      </c>
      <c r="AR23" s="512"/>
      <c r="AS23" s="512"/>
      <c r="AT23" s="512"/>
      <c r="AU23" s="512"/>
      <c r="AV23" s="512"/>
    </row>
    <row r="24" spans="1:48" s="130" customFormat="1" ht="96.75" customHeight="1" x14ac:dyDescent="0.25">
      <c r="A24" s="505"/>
      <c r="B24" s="508"/>
      <c r="C24" s="505"/>
      <c r="D24" s="505"/>
      <c r="E24" s="517"/>
      <c r="F24" s="519"/>
      <c r="G24" s="519"/>
      <c r="H24" s="519"/>
      <c r="I24" s="523"/>
      <c r="J24" s="523"/>
      <c r="K24" s="523"/>
      <c r="L24" s="519"/>
      <c r="M24" s="505"/>
      <c r="N24" s="505"/>
      <c r="O24" s="505"/>
      <c r="P24" s="512"/>
      <c r="Q24" s="512"/>
      <c r="R24" s="512"/>
      <c r="S24" s="521"/>
      <c r="T24" s="521"/>
      <c r="U24" s="513"/>
      <c r="V24" s="513"/>
      <c r="W24" s="512"/>
      <c r="X24" s="512"/>
      <c r="Y24" s="512"/>
      <c r="Z24" s="512"/>
      <c r="AA24" s="512"/>
      <c r="AB24" s="512"/>
      <c r="AC24" s="512"/>
      <c r="AD24" s="512"/>
      <c r="AE24" s="512"/>
      <c r="AF24" s="131" t="s">
        <v>11</v>
      </c>
      <c r="AG24" s="131" t="s">
        <v>10</v>
      </c>
      <c r="AH24" s="132" t="s">
        <v>2</v>
      </c>
      <c r="AI24" s="132" t="s">
        <v>9</v>
      </c>
      <c r="AJ24" s="505"/>
      <c r="AK24" s="505"/>
      <c r="AL24" s="505"/>
      <c r="AM24" s="505"/>
      <c r="AN24" s="505"/>
      <c r="AO24" s="505"/>
      <c r="AP24" s="505"/>
      <c r="AQ24" s="515"/>
      <c r="AR24" s="512"/>
      <c r="AS24" s="512"/>
      <c r="AT24" s="512"/>
      <c r="AU24" s="512"/>
      <c r="AV24" s="512"/>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09" customFormat="1" ht="51" x14ac:dyDescent="0.25">
      <c r="A26" s="200">
        <v>1</v>
      </c>
      <c r="B26" s="201" t="s">
        <v>576</v>
      </c>
      <c r="C26" s="201">
        <v>1</v>
      </c>
      <c r="D26" s="202">
        <f>'6.1. Паспорт сетевой график'!D53</f>
        <v>45657</v>
      </c>
      <c r="E26" s="201"/>
      <c r="F26" s="201"/>
      <c r="G26" s="201">
        <f>'6.2. Паспорт фин осв ввод'!D37</f>
        <v>0</v>
      </c>
      <c r="H26" s="201"/>
      <c r="I26" s="293"/>
      <c r="J26" s="203"/>
      <c r="K26" s="293">
        <f>'6.2. Паспорт фин осв ввод'!D41</f>
        <v>0</v>
      </c>
      <c r="L26" s="201">
        <f>'6.2. Паспорт фин осв ввод'!D42</f>
        <v>0</v>
      </c>
      <c r="M26" s="204" t="s">
        <v>573</v>
      </c>
      <c r="N26" s="205" t="s">
        <v>613</v>
      </c>
      <c r="O26" s="206" t="s">
        <v>576</v>
      </c>
      <c r="P26" s="207">
        <v>33927</v>
      </c>
      <c r="Q26" s="206" t="s">
        <v>590</v>
      </c>
      <c r="R26" s="207">
        <v>33927</v>
      </c>
      <c r="S26" s="206" t="s">
        <v>574</v>
      </c>
      <c r="T26" s="206" t="s">
        <v>577</v>
      </c>
      <c r="U26" s="204" t="s">
        <v>60</v>
      </c>
      <c r="V26" s="204" t="s">
        <v>60</v>
      </c>
      <c r="W26" s="206" t="s">
        <v>614</v>
      </c>
      <c r="X26" s="207">
        <v>32230.646000000001</v>
      </c>
      <c r="Y26" s="204"/>
      <c r="Z26" s="204"/>
      <c r="AA26" s="207"/>
      <c r="AB26" s="207">
        <v>32230.646000000001</v>
      </c>
      <c r="AC26" s="206" t="s">
        <v>614</v>
      </c>
      <c r="AD26" s="207">
        <f>'8. Общие сведения'!B33*1000</f>
        <v>30256.300220000001</v>
      </c>
      <c r="AE26" s="207"/>
      <c r="AF26" s="204" t="s">
        <v>615</v>
      </c>
      <c r="AG26" s="206" t="s">
        <v>591</v>
      </c>
      <c r="AH26" s="208">
        <v>44607</v>
      </c>
      <c r="AI26" s="208">
        <v>44607</v>
      </c>
      <c r="AJ26" s="208">
        <v>44623</v>
      </c>
      <c r="AK26" s="208">
        <v>44659</v>
      </c>
      <c r="AL26" s="204"/>
      <c r="AM26" s="204"/>
      <c r="AN26" s="204"/>
      <c r="AO26" s="204"/>
      <c r="AP26" s="208">
        <v>44681</v>
      </c>
      <c r="AQ26" s="208">
        <v>44678</v>
      </c>
      <c r="AR26" s="208">
        <v>44681</v>
      </c>
      <c r="AS26" s="208">
        <v>44678</v>
      </c>
      <c r="AT26" s="208">
        <v>44831</v>
      </c>
      <c r="AU26" s="204"/>
      <c r="AV26" s="206" t="s">
        <v>629</v>
      </c>
    </row>
    <row r="27" spans="1:48" s="214" customFormat="1" ht="12.75" x14ac:dyDescent="0.25">
      <c r="A27" s="210"/>
      <c r="B27" s="211"/>
      <c r="C27" s="211"/>
      <c r="D27" s="212"/>
      <c r="E27" s="211"/>
      <c r="F27" s="211"/>
      <c r="G27" s="211"/>
      <c r="H27" s="211"/>
      <c r="I27" s="213"/>
      <c r="J27" s="213"/>
      <c r="K27" s="211"/>
      <c r="L27" s="211"/>
      <c r="M27" s="204"/>
      <c r="N27" s="206"/>
      <c r="O27" s="204"/>
      <c r="P27" s="207"/>
      <c r="Q27" s="206"/>
      <c r="R27" s="207"/>
      <c r="S27" s="206"/>
      <c r="T27" s="206"/>
      <c r="U27" s="204"/>
      <c r="V27" s="204"/>
      <c r="W27" s="206" t="s">
        <v>592</v>
      </c>
      <c r="X27" s="207">
        <v>33000</v>
      </c>
      <c r="Y27" s="204"/>
      <c r="Z27" s="204"/>
      <c r="AA27" s="207"/>
      <c r="AB27" s="207"/>
      <c r="AC27" s="204"/>
      <c r="AD27" s="207"/>
      <c r="AE27" s="207"/>
      <c r="AF27" s="204"/>
      <c r="AG27" s="204"/>
      <c r="AH27" s="208"/>
      <c r="AI27" s="208"/>
      <c r="AJ27" s="208"/>
      <c r="AK27" s="208"/>
      <c r="AL27" s="204"/>
      <c r="AM27" s="204"/>
      <c r="AN27" s="204"/>
      <c r="AO27" s="204"/>
      <c r="AP27" s="204"/>
      <c r="AQ27" s="204"/>
      <c r="AR27" s="204"/>
      <c r="AS27" s="204"/>
      <c r="AT27" s="204"/>
      <c r="AU27" s="204"/>
      <c r="AV27" s="204"/>
    </row>
    <row r="28" spans="1:48" s="214" customFormat="1" ht="12.75" x14ac:dyDescent="0.25">
      <c r="A28" s="210"/>
      <c r="B28" s="211"/>
      <c r="C28" s="211"/>
      <c r="D28" s="212"/>
      <c r="E28" s="211"/>
      <c r="F28" s="211"/>
      <c r="G28" s="211"/>
      <c r="H28" s="211"/>
      <c r="I28" s="213"/>
      <c r="J28" s="213"/>
      <c r="K28" s="211"/>
      <c r="L28" s="211"/>
      <c r="M28" s="204"/>
      <c r="N28" s="206"/>
      <c r="O28" s="204"/>
      <c r="P28" s="207"/>
      <c r="Q28" s="206"/>
      <c r="R28" s="207"/>
      <c r="S28" s="206"/>
      <c r="T28" s="206"/>
      <c r="U28" s="204"/>
      <c r="V28" s="204"/>
      <c r="W28" s="206" t="s">
        <v>616</v>
      </c>
      <c r="X28" s="207">
        <v>33400</v>
      </c>
      <c r="Y28" s="204"/>
      <c r="Z28" s="204"/>
      <c r="AA28" s="207"/>
      <c r="AB28" s="207"/>
      <c r="AC28" s="204"/>
      <c r="AD28" s="207"/>
      <c r="AE28" s="207"/>
      <c r="AF28" s="204"/>
      <c r="AG28" s="204"/>
      <c r="AH28" s="208"/>
      <c r="AI28" s="208"/>
      <c r="AJ28" s="208"/>
      <c r="AK28" s="208"/>
      <c r="AL28" s="204"/>
      <c r="AM28" s="204"/>
      <c r="AN28" s="204"/>
      <c r="AO28" s="204"/>
      <c r="AP28" s="204"/>
      <c r="AQ28" s="204"/>
      <c r="AR28" s="204"/>
      <c r="AS28" s="204"/>
      <c r="AT28" s="204"/>
      <c r="AU28" s="204"/>
      <c r="AV28" s="204"/>
    </row>
    <row r="29" spans="1:48" s="214" customFormat="1" ht="12.75" x14ac:dyDescent="0.25">
      <c r="A29" s="210"/>
      <c r="B29" s="201"/>
      <c r="C29" s="201"/>
      <c r="D29" s="202"/>
      <c r="E29" s="201"/>
      <c r="F29" s="201"/>
      <c r="G29" s="201"/>
      <c r="H29" s="201"/>
      <c r="I29" s="203"/>
      <c r="J29" s="203"/>
      <c r="K29" s="201"/>
      <c r="L29" s="201"/>
      <c r="M29" s="204"/>
      <c r="N29" s="205"/>
      <c r="O29" s="201"/>
      <c r="P29" s="207"/>
      <c r="Q29" s="211"/>
      <c r="R29" s="315"/>
      <c r="S29" s="206"/>
      <c r="T29" s="206"/>
      <c r="U29" s="211"/>
      <c r="V29" s="211"/>
      <c r="W29" s="206"/>
      <c r="X29" s="207"/>
      <c r="Y29" s="211"/>
      <c r="Z29" s="211"/>
      <c r="AA29" s="207"/>
      <c r="AB29" s="207"/>
      <c r="AC29" s="206"/>
      <c r="AD29" s="207"/>
      <c r="AE29" s="207"/>
      <c r="AF29" s="204"/>
      <c r="AG29" s="206"/>
      <c r="AH29" s="212"/>
      <c r="AI29" s="212"/>
      <c r="AJ29" s="212"/>
      <c r="AK29" s="212"/>
      <c r="AL29" s="211"/>
      <c r="AM29" s="211"/>
      <c r="AN29" s="212"/>
      <c r="AO29" s="211"/>
      <c r="AP29" s="212"/>
      <c r="AQ29" s="212"/>
      <c r="AR29" s="212"/>
      <c r="AS29" s="212"/>
      <c r="AT29" s="212"/>
      <c r="AU29" s="211"/>
      <c r="AV29" s="211"/>
    </row>
    <row r="30" spans="1:48" s="214" customFormat="1" ht="12.75" x14ac:dyDescent="0.25">
      <c r="A30" s="306"/>
      <c r="B30" s="307"/>
      <c r="C30" s="307"/>
      <c r="D30" s="308"/>
      <c r="E30" s="307"/>
      <c r="F30" s="307"/>
      <c r="G30" s="307"/>
      <c r="H30" s="307"/>
      <c r="I30" s="309"/>
      <c r="J30" s="309"/>
      <c r="K30" s="307"/>
      <c r="L30" s="307"/>
      <c r="M30" s="310"/>
      <c r="N30" s="311"/>
      <c r="O30" s="307"/>
      <c r="P30" s="312"/>
      <c r="Q30" s="313"/>
      <c r="R30" s="313"/>
      <c r="S30" s="313"/>
      <c r="T30" s="313"/>
      <c r="U30" s="313"/>
      <c r="V30" s="313"/>
      <c r="W30" s="313"/>
      <c r="X30" s="312"/>
      <c r="Y30" s="313"/>
      <c r="Z30" s="313"/>
      <c r="AA30" s="312"/>
      <c r="AB30" s="312"/>
      <c r="AC30" s="313"/>
      <c r="AD30" s="312"/>
      <c r="AE30" s="312"/>
      <c r="AF30" s="314"/>
      <c r="AG30" s="313"/>
      <c r="AH30" s="314"/>
      <c r="AI30" s="314"/>
      <c r="AJ30" s="314"/>
      <c r="AK30" s="314"/>
      <c r="AL30" s="313"/>
      <c r="AM30" s="313"/>
      <c r="AN30" s="313"/>
      <c r="AO30" s="313"/>
      <c r="AP30" s="313"/>
      <c r="AQ30" s="313"/>
      <c r="AR30" s="313"/>
      <c r="AS30" s="313"/>
      <c r="AT30" s="313"/>
      <c r="AU30" s="313"/>
      <c r="AV30" s="313"/>
    </row>
    <row r="31" spans="1:48" s="214" customFormat="1" ht="12.75" x14ac:dyDescent="0.25">
      <c r="A31" s="306"/>
      <c r="B31" s="307"/>
      <c r="C31" s="307"/>
      <c r="D31" s="308"/>
      <c r="E31" s="307"/>
      <c r="F31" s="307"/>
      <c r="G31" s="307"/>
      <c r="H31" s="307"/>
      <c r="I31" s="309"/>
      <c r="J31" s="309"/>
      <c r="K31" s="307"/>
      <c r="L31" s="307"/>
      <c r="M31" s="310"/>
      <c r="N31" s="311"/>
      <c r="O31" s="307"/>
      <c r="P31" s="312"/>
      <c r="Q31" s="313"/>
      <c r="R31" s="313"/>
      <c r="S31" s="313"/>
      <c r="T31" s="313"/>
      <c r="U31" s="313"/>
      <c r="V31" s="313"/>
      <c r="W31" s="313"/>
      <c r="X31" s="312"/>
      <c r="Y31" s="313"/>
      <c r="Z31" s="313"/>
      <c r="AA31" s="312"/>
      <c r="AB31" s="312"/>
      <c r="AC31" s="313"/>
      <c r="AD31" s="312"/>
      <c r="AE31" s="312"/>
      <c r="AF31" s="314"/>
      <c r="AG31" s="313"/>
      <c r="AH31" s="314"/>
      <c r="AI31" s="314"/>
      <c r="AJ31" s="314"/>
      <c r="AK31" s="314"/>
      <c r="AL31" s="313"/>
      <c r="AM31" s="313"/>
      <c r="AN31" s="313"/>
      <c r="AO31" s="313"/>
      <c r="AP31" s="313"/>
      <c r="AQ31" s="313"/>
      <c r="AR31" s="313"/>
      <c r="AS31" s="313"/>
      <c r="AT31" s="313"/>
      <c r="AU31" s="313"/>
      <c r="AV31" s="313"/>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x14ac:dyDescent="0.25">
      <c r="AD34" s="215">
        <f>SUM(AD26:AD33)</f>
        <v>30256.300220000001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9" zoomScale="90" zoomScaleNormal="90" zoomScaleSheetLayoutView="90" workbookViewId="0">
      <selection activeCell="B39" sqref="B39"/>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25" t="str">
        <f>'2. паспорт  ТП'!A4:S4</f>
        <v>Год раскрытия информации: 2025 год</v>
      </c>
      <c r="B5" s="525"/>
      <c r="C5" s="26"/>
      <c r="D5" s="26"/>
      <c r="E5" s="26"/>
      <c r="F5" s="26"/>
      <c r="G5" s="26"/>
      <c r="H5" s="26"/>
    </row>
    <row r="6" spans="1:8" ht="18.75" x14ac:dyDescent="0.3">
      <c r="A6" s="168"/>
      <c r="B6" s="168"/>
      <c r="C6" s="168"/>
      <c r="D6" s="168"/>
      <c r="E6" s="168"/>
      <c r="F6" s="168"/>
      <c r="G6" s="168"/>
      <c r="H6" s="168"/>
    </row>
    <row r="7" spans="1:8" ht="18.75" x14ac:dyDescent="0.25">
      <c r="A7" s="479" t="s">
        <v>7</v>
      </c>
      <c r="B7" s="479"/>
      <c r="C7" s="197"/>
      <c r="D7" s="197"/>
      <c r="E7" s="197"/>
      <c r="F7" s="197"/>
      <c r="G7" s="197"/>
      <c r="H7" s="197"/>
    </row>
    <row r="8" spans="1:8" ht="18.75" x14ac:dyDescent="0.25">
      <c r="A8" s="197"/>
      <c r="B8" s="197"/>
      <c r="C8" s="197"/>
      <c r="D8" s="197"/>
      <c r="E8" s="197"/>
      <c r="F8" s="197"/>
      <c r="G8" s="197"/>
      <c r="H8" s="197"/>
    </row>
    <row r="9" spans="1:8" x14ac:dyDescent="0.25">
      <c r="A9" s="480" t="str">
        <f>'1. паспорт местоположение'!A9:C9</f>
        <v>Акционерное общество "Россети Янтарь" ДЗО  ПАО "Россети"</v>
      </c>
      <c r="B9" s="480"/>
      <c r="C9" s="198"/>
      <c r="D9" s="198"/>
      <c r="E9" s="198"/>
      <c r="F9" s="198"/>
      <c r="G9" s="198"/>
      <c r="H9" s="198"/>
    </row>
    <row r="10" spans="1:8" x14ac:dyDescent="0.25">
      <c r="A10" s="466" t="s">
        <v>6</v>
      </c>
      <c r="B10" s="466"/>
      <c r="C10" s="199"/>
      <c r="D10" s="199"/>
      <c r="E10" s="199"/>
      <c r="F10" s="199"/>
      <c r="G10" s="199"/>
      <c r="H10" s="199"/>
    </row>
    <row r="11" spans="1:8" ht="18.75" x14ac:dyDescent="0.25">
      <c r="A11" s="197"/>
      <c r="B11" s="197"/>
      <c r="C11" s="197"/>
      <c r="D11" s="197"/>
      <c r="E11" s="197"/>
      <c r="F11" s="197"/>
      <c r="G11" s="197"/>
      <c r="H11" s="197"/>
    </row>
    <row r="12" spans="1:8" x14ac:dyDescent="0.25">
      <c r="A12" s="480" t="str">
        <f>'1. паспорт местоположение'!A12:C12</f>
        <v>N_21-1806</v>
      </c>
      <c r="B12" s="480"/>
      <c r="C12" s="198"/>
      <c r="D12" s="198"/>
      <c r="E12" s="198"/>
      <c r="F12" s="198"/>
      <c r="G12" s="198"/>
      <c r="H12" s="198"/>
    </row>
    <row r="13" spans="1:8" x14ac:dyDescent="0.25">
      <c r="A13" s="466" t="s">
        <v>5</v>
      </c>
      <c r="B13" s="466"/>
      <c r="C13" s="199"/>
      <c r="D13" s="199"/>
      <c r="E13" s="199"/>
      <c r="F13" s="199"/>
      <c r="G13" s="199"/>
      <c r="H13" s="199"/>
    </row>
    <row r="14" spans="1:8" ht="18.75" x14ac:dyDescent="0.25">
      <c r="A14" s="105"/>
      <c r="B14" s="105"/>
      <c r="C14" s="105"/>
      <c r="D14" s="105"/>
      <c r="E14" s="105"/>
      <c r="F14" s="105"/>
      <c r="G14" s="105"/>
      <c r="H14" s="105"/>
    </row>
    <row r="15" spans="1:8" ht="63.6" customHeight="1" x14ac:dyDescent="0.25">
      <c r="A15" s="467"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67"/>
      <c r="C15" s="198"/>
      <c r="D15" s="198"/>
      <c r="E15" s="198"/>
      <c r="F15" s="198"/>
      <c r="G15" s="198"/>
      <c r="H15" s="198"/>
    </row>
    <row r="16" spans="1:8" x14ac:dyDescent="0.25">
      <c r="A16" s="466" t="s">
        <v>4</v>
      </c>
      <c r="B16" s="466"/>
      <c r="C16" s="199"/>
      <c r="D16" s="199"/>
      <c r="E16" s="199"/>
      <c r="F16" s="199"/>
      <c r="G16" s="199"/>
      <c r="H16" s="199"/>
    </row>
    <row r="17" spans="1:2" x14ac:dyDescent="0.25">
      <c r="B17" s="29"/>
    </row>
    <row r="18" spans="1:2" x14ac:dyDescent="0.25">
      <c r="A18" s="526" t="s">
        <v>373</v>
      </c>
      <c r="B18" s="527"/>
    </row>
    <row r="19" spans="1:2" x14ac:dyDescent="0.25">
      <c r="B19" s="5"/>
    </row>
    <row r="20" spans="1:2" ht="16.5" thickBot="1" x14ac:dyDescent="0.3">
      <c r="B20" s="30"/>
    </row>
    <row r="21" spans="1:2" ht="45.75" thickBot="1" x14ac:dyDescent="0.3">
      <c r="A21" s="31" t="s">
        <v>272</v>
      </c>
      <c r="B21" s="56" t="str">
        <f>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525</v>
      </c>
    </row>
    <row r="24" spans="1:2" ht="16.5" thickBot="1" x14ac:dyDescent="0.3">
      <c r="A24" s="31" t="s">
        <v>274</v>
      </c>
      <c r="B24" s="59" t="str">
        <f>CONCATENATE('3.1. паспорт Техсостояние ПС'!O26," (",'3.1. паспорт Техсостояние ПС'!O26,") МВА; ",'3.2 паспорт Техсостояние ЛЭП'!R29," (",'3.2 паспорт Техсостояние ЛЭП'!S29,") км")</f>
        <v>0,5 (0,5) МВА; 0,95 (0,95) км</v>
      </c>
    </row>
    <row r="25" spans="1:2" ht="16.5" thickBot="1" x14ac:dyDescent="0.3">
      <c r="A25" s="32" t="s">
        <v>275</v>
      </c>
      <c r="B25" s="60">
        <v>2025</v>
      </c>
    </row>
    <row r="26" spans="1:2" ht="16.5" thickBot="1" x14ac:dyDescent="0.3">
      <c r="A26" s="33" t="s">
        <v>276</v>
      </c>
      <c r="B26" s="61" t="s">
        <v>623</v>
      </c>
    </row>
    <row r="27" spans="1:2" ht="29.25" thickBot="1" x14ac:dyDescent="0.3">
      <c r="A27" s="39" t="s">
        <v>593</v>
      </c>
      <c r="B27" s="146">
        <f>'6.2. Паспорт фин осв ввод'!C24</f>
        <v>36.58172845</v>
      </c>
    </row>
    <row r="28" spans="1:2" ht="16.5" thickBot="1" x14ac:dyDescent="0.3">
      <c r="A28" s="35" t="s">
        <v>277</v>
      </c>
      <c r="B28" s="61" t="s">
        <v>628</v>
      </c>
    </row>
    <row r="29" spans="1:2" ht="29.25" thickBot="1" x14ac:dyDescent="0.3">
      <c r="A29" s="40" t="s">
        <v>278</v>
      </c>
      <c r="B29" s="146">
        <f>'7. Паспорт отчет о закупке'!AD34/1000</f>
        <v>30.25630022</v>
      </c>
    </row>
    <row r="30" spans="1:2" ht="29.25" thickBot="1" x14ac:dyDescent="0.3">
      <c r="A30" s="40" t="s">
        <v>279</v>
      </c>
      <c r="B30" s="146">
        <f>B32+B49+B66</f>
        <v>30.25630022</v>
      </c>
    </row>
    <row r="31" spans="1:2" ht="16.5" thickBot="1" x14ac:dyDescent="0.3">
      <c r="A31" s="35" t="s">
        <v>280</v>
      </c>
      <c r="B31" s="62"/>
    </row>
    <row r="32" spans="1:2" ht="29.25" thickBot="1" x14ac:dyDescent="0.3">
      <c r="A32" s="40" t="s">
        <v>281</v>
      </c>
      <c r="B32" s="146">
        <f>SUMIF(C33:C48,10,B33:B48)</f>
        <v>30.25630022</v>
      </c>
    </row>
    <row r="33" spans="1:3" ht="30.75" thickBot="1" x14ac:dyDescent="0.3">
      <c r="A33" s="384" t="s">
        <v>617</v>
      </c>
      <c r="B33" s="385">
        <f>38.67677582*0+B36</f>
        <v>30.25630022</v>
      </c>
      <c r="C33" s="17">
        <v>10</v>
      </c>
    </row>
    <row r="34" spans="1:3" ht="16.5" thickBot="1" x14ac:dyDescent="0.3">
      <c r="A34" s="35" t="s">
        <v>283</v>
      </c>
      <c r="B34" s="64">
        <f>B33/$B$27</f>
        <v>0.82708777037023795</v>
      </c>
    </row>
    <row r="35" spans="1:3" ht="16.5" thickBot="1" x14ac:dyDescent="0.3">
      <c r="A35" s="35" t="s">
        <v>284</v>
      </c>
      <c r="B35" s="146">
        <v>30.2563</v>
      </c>
      <c r="C35" s="17">
        <v>1</v>
      </c>
    </row>
    <row r="36" spans="1:3" ht="16.5" thickBot="1" x14ac:dyDescent="0.3">
      <c r="A36" s="35" t="s">
        <v>285</v>
      </c>
      <c r="B36" s="146">
        <v>30.25630022</v>
      </c>
      <c r="C36" s="17">
        <v>2</v>
      </c>
    </row>
    <row r="37" spans="1:3" ht="16.5" thickBot="1" x14ac:dyDescent="0.3">
      <c r="A37" s="63" t="s">
        <v>282</v>
      </c>
      <c r="B37" s="216"/>
      <c r="C37" s="17">
        <v>10</v>
      </c>
    </row>
    <row r="38" spans="1:3" ht="16.5" thickBot="1" x14ac:dyDescent="0.3">
      <c r="A38" s="35" t="s">
        <v>283</v>
      </c>
      <c r="B38" s="64">
        <f>B37/$B$27</f>
        <v>0</v>
      </c>
    </row>
    <row r="39" spans="1:3" ht="16.5" thickBot="1" x14ac:dyDescent="0.3">
      <c r="A39" s="35" t="s">
        <v>284</v>
      </c>
      <c r="B39" s="146"/>
      <c r="C39" s="17">
        <v>1</v>
      </c>
    </row>
    <row r="40" spans="1:3" ht="16.5" thickBot="1" x14ac:dyDescent="0.3">
      <c r="A40" s="35" t="s">
        <v>285</v>
      </c>
      <c r="B40" s="146"/>
      <c r="C40" s="17">
        <v>2</v>
      </c>
    </row>
    <row r="41" spans="1:3" ht="16.5" thickBot="1" x14ac:dyDescent="0.3">
      <c r="A41" s="63" t="s">
        <v>282</v>
      </c>
      <c r="B41" s="216"/>
      <c r="C41" s="17">
        <v>10</v>
      </c>
    </row>
    <row r="42" spans="1:3" ht="16.5" thickBot="1" x14ac:dyDescent="0.3">
      <c r="A42" s="35" t="s">
        <v>283</v>
      </c>
      <c r="B42" s="64">
        <f>B41/$B$27</f>
        <v>0</v>
      </c>
    </row>
    <row r="43" spans="1:3" ht="16.5" thickBot="1" x14ac:dyDescent="0.3">
      <c r="A43" s="35" t="s">
        <v>284</v>
      </c>
      <c r="B43" s="146"/>
      <c r="C43" s="17">
        <v>1</v>
      </c>
    </row>
    <row r="44" spans="1:3" ht="16.5" thickBot="1" x14ac:dyDescent="0.3">
      <c r="A44" s="35" t="s">
        <v>285</v>
      </c>
      <c r="B44" s="146"/>
      <c r="C44" s="17">
        <v>2</v>
      </c>
    </row>
    <row r="45" spans="1:3" ht="16.5" thickBot="1" x14ac:dyDescent="0.3">
      <c r="A45" s="63" t="s">
        <v>282</v>
      </c>
      <c r="B45" s="216"/>
      <c r="C45" s="17">
        <v>10</v>
      </c>
    </row>
    <row r="46" spans="1:3" ht="16.5" thickBot="1" x14ac:dyDescent="0.3">
      <c r="A46" s="35" t="s">
        <v>283</v>
      </c>
      <c r="B46" s="64">
        <f>B45/$B$27</f>
        <v>0</v>
      </c>
    </row>
    <row r="47" spans="1:3" ht="16.5" thickBot="1" x14ac:dyDescent="0.3">
      <c r="A47" s="35" t="s">
        <v>284</v>
      </c>
      <c r="B47" s="146"/>
      <c r="C47" s="17">
        <v>1</v>
      </c>
    </row>
    <row r="48" spans="1:3" ht="16.5" thickBot="1" x14ac:dyDescent="0.3">
      <c r="A48" s="35" t="s">
        <v>285</v>
      </c>
      <c r="B48" s="146"/>
      <c r="C48" s="17">
        <v>2</v>
      </c>
    </row>
    <row r="49" spans="1:3" ht="29.25" thickBot="1" x14ac:dyDescent="0.3">
      <c r="A49" s="40" t="s">
        <v>286</v>
      </c>
      <c r="B49" s="146">
        <f>SUMIF(C50:C65,20,B50:B65)</f>
        <v>0</v>
      </c>
    </row>
    <row r="50" spans="1:3" ht="16.5" thickBot="1" x14ac:dyDescent="0.3">
      <c r="A50" s="63" t="s">
        <v>282</v>
      </c>
      <c r="B50" s="216"/>
      <c r="C50" s="17">
        <v>20</v>
      </c>
    </row>
    <row r="51" spans="1:3" ht="16.5" thickBot="1" x14ac:dyDescent="0.3">
      <c r="A51" s="35" t="s">
        <v>283</v>
      </c>
      <c r="B51" s="64">
        <f>B50/$B$27</f>
        <v>0</v>
      </c>
    </row>
    <row r="52" spans="1:3" ht="16.5" thickBot="1" x14ac:dyDescent="0.3">
      <c r="A52" s="35" t="s">
        <v>284</v>
      </c>
      <c r="B52" s="146"/>
      <c r="C52" s="17">
        <v>1</v>
      </c>
    </row>
    <row r="53" spans="1:3" ht="16.5" thickBot="1" x14ac:dyDescent="0.3">
      <c r="A53" s="35" t="s">
        <v>285</v>
      </c>
      <c r="B53" s="146"/>
      <c r="C53" s="17">
        <v>2</v>
      </c>
    </row>
    <row r="54" spans="1:3" ht="16.5" thickBot="1" x14ac:dyDescent="0.3">
      <c r="A54" s="63" t="s">
        <v>282</v>
      </c>
      <c r="B54" s="216"/>
      <c r="C54" s="17">
        <v>20</v>
      </c>
    </row>
    <row r="55" spans="1:3" ht="16.5" thickBot="1" x14ac:dyDescent="0.3">
      <c r="A55" s="35" t="s">
        <v>283</v>
      </c>
      <c r="B55" s="64">
        <f>B54/$B$27</f>
        <v>0</v>
      </c>
    </row>
    <row r="56" spans="1:3" ht="16.5" thickBot="1" x14ac:dyDescent="0.3">
      <c r="A56" s="35" t="s">
        <v>284</v>
      </c>
      <c r="B56" s="146"/>
      <c r="C56" s="17">
        <v>1</v>
      </c>
    </row>
    <row r="57" spans="1:3" ht="16.5" thickBot="1" x14ac:dyDescent="0.3">
      <c r="A57" s="35" t="s">
        <v>285</v>
      </c>
      <c r="B57" s="146"/>
      <c r="C57" s="17">
        <v>2</v>
      </c>
    </row>
    <row r="58" spans="1:3" ht="16.5" thickBot="1" x14ac:dyDescent="0.3">
      <c r="A58" s="63" t="s">
        <v>282</v>
      </c>
      <c r="B58" s="216"/>
      <c r="C58" s="17">
        <v>20</v>
      </c>
    </row>
    <row r="59" spans="1:3" ht="16.5" thickBot="1" x14ac:dyDescent="0.3">
      <c r="A59" s="35" t="s">
        <v>283</v>
      </c>
      <c r="B59" s="64">
        <f>B58/$B$27</f>
        <v>0</v>
      </c>
    </row>
    <row r="60" spans="1:3" ht="16.5" thickBot="1" x14ac:dyDescent="0.3">
      <c r="A60" s="35" t="s">
        <v>284</v>
      </c>
      <c r="B60" s="146"/>
      <c r="C60" s="17">
        <v>1</v>
      </c>
    </row>
    <row r="61" spans="1:3" ht="16.5" thickBot="1" x14ac:dyDescent="0.3">
      <c r="A61" s="35" t="s">
        <v>285</v>
      </c>
      <c r="B61" s="146"/>
      <c r="C61" s="17">
        <v>2</v>
      </c>
    </row>
    <row r="62" spans="1:3" ht="16.5" thickBot="1" x14ac:dyDescent="0.3">
      <c r="A62" s="63" t="s">
        <v>282</v>
      </c>
      <c r="B62" s="216"/>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SUMIF(C67:C90,30,B67:B90)</f>
        <v>0</v>
      </c>
    </row>
    <row r="67" spans="1:3" ht="16.5" thickBot="1" x14ac:dyDescent="0.3">
      <c r="A67" s="63" t="s">
        <v>282</v>
      </c>
      <c r="B67" s="216"/>
      <c r="C67" s="17">
        <v>30</v>
      </c>
    </row>
    <row r="68" spans="1:3" ht="16.5" thickBot="1" x14ac:dyDescent="0.3">
      <c r="A68" s="35" t="s">
        <v>283</v>
      </c>
      <c r="B68" s="64">
        <f>B67/$B$27</f>
        <v>0</v>
      </c>
    </row>
    <row r="69" spans="1:3" ht="16.5" thickBot="1" x14ac:dyDescent="0.3">
      <c r="A69" s="35" t="s">
        <v>284</v>
      </c>
      <c r="B69" s="146"/>
      <c r="C69" s="17">
        <v>1</v>
      </c>
    </row>
    <row r="70" spans="1:3" ht="16.5" thickBot="1" x14ac:dyDescent="0.3">
      <c r="A70" s="35" t="s">
        <v>285</v>
      </c>
      <c r="B70" s="146"/>
      <c r="C70" s="17">
        <v>2</v>
      </c>
    </row>
    <row r="71" spans="1:3" ht="16.5" thickBot="1" x14ac:dyDescent="0.3">
      <c r="A71" s="63" t="s">
        <v>282</v>
      </c>
      <c r="B71" s="216"/>
      <c r="C71" s="17">
        <v>30</v>
      </c>
    </row>
    <row r="72" spans="1:3" ht="16.5" thickBot="1" x14ac:dyDescent="0.3">
      <c r="A72" s="35" t="s">
        <v>283</v>
      </c>
      <c r="B72" s="64">
        <f>B71/$B$27</f>
        <v>0</v>
      </c>
    </row>
    <row r="73" spans="1:3" ht="16.5" thickBot="1" x14ac:dyDescent="0.3">
      <c r="A73" s="35" t="s">
        <v>284</v>
      </c>
      <c r="B73" s="146"/>
      <c r="C73" s="17">
        <v>1</v>
      </c>
    </row>
    <row r="74" spans="1:3" ht="16.5" thickBot="1" x14ac:dyDescent="0.3">
      <c r="A74" s="35" t="s">
        <v>285</v>
      </c>
      <c r="B74" s="146"/>
      <c r="C74" s="17">
        <v>2</v>
      </c>
    </row>
    <row r="75" spans="1:3" ht="16.5" thickBot="1" x14ac:dyDescent="0.3">
      <c r="A75" s="63" t="s">
        <v>282</v>
      </c>
      <c r="B75" s="216"/>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16"/>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16.5" thickBot="1" x14ac:dyDescent="0.3">
      <c r="A83" s="63" t="s">
        <v>282</v>
      </c>
      <c r="B83" s="216"/>
      <c r="C83" s="17">
        <v>30</v>
      </c>
    </row>
    <row r="84" spans="1:3" ht="16.5" thickBot="1" x14ac:dyDescent="0.3">
      <c r="A84" s="35" t="s">
        <v>283</v>
      </c>
      <c r="B84" s="64">
        <f>B83/$B$27</f>
        <v>0</v>
      </c>
    </row>
    <row r="85" spans="1:3" ht="16.5" thickBot="1" x14ac:dyDescent="0.3">
      <c r="A85" s="35" t="s">
        <v>284</v>
      </c>
      <c r="B85" s="146"/>
      <c r="C85" s="17">
        <v>1</v>
      </c>
    </row>
    <row r="86" spans="1:3" ht="16.5" thickBot="1" x14ac:dyDescent="0.3">
      <c r="A86" s="35" t="s">
        <v>285</v>
      </c>
      <c r="B86" s="146"/>
      <c r="C86" s="17">
        <v>2</v>
      </c>
    </row>
    <row r="87" spans="1:3" ht="16.5" thickBot="1" x14ac:dyDescent="0.3">
      <c r="A87" s="63" t="s">
        <v>282</v>
      </c>
      <c r="B87" s="216"/>
      <c r="C87" s="17">
        <v>30</v>
      </c>
    </row>
    <row r="88" spans="1:3" ht="16.5" thickBot="1" x14ac:dyDescent="0.3">
      <c r="A88" s="35" t="s">
        <v>283</v>
      </c>
      <c r="B88" s="64">
        <f>B87/$B$27</f>
        <v>0</v>
      </c>
    </row>
    <row r="89" spans="1:3" ht="16.5" thickBot="1" x14ac:dyDescent="0.3">
      <c r="A89" s="35" t="s">
        <v>284</v>
      </c>
      <c r="B89" s="146"/>
      <c r="C89" s="17">
        <v>1</v>
      </c>
    </row>
    <row r="90" spans="1:3" ht="16.5" thickBot="1" x14ac:dyDescent="0.3">
      <c r="A90" s="35" t="s">
        <v>285</v>
      </c>
      <c r="B90" s="146"/>
      <c r="C90" s="17">
        <v>2</v>
      </c>
    </row>
    <row r="91" spans="1:3" ht="29.25" thickBot="1" x14ac:dyDescent="0.3">
      <c r="A91" s="34" t="s">
        <v>288</v>
      </c>
      <c r="B91" s="304">
        <f>B30/B27</f>
        <v>0.82708777037023795</v>
      </c>
    </row>
    <row r="92" spans="1:3" ht="16.5" thickBot="1" x14ac:dyDescent="0.3">
      <c r="A92" s="36" t="s">
        <v>280</v>
      </c>
      <c r="B92" s="305"/>
    </row>
    <row r="93" spans="1:3" ht="16.5" thickBot="1" x14ac:dyDescent="0.3">
      <c r="A93" s="36" t="s">
        <v>289</v>
      </c>
      <c r="B93" s="304">
        <f>B34-B95-B94</f>
        <v>0.3014436221916682</v>
      </c>
    </row>
    <row r="94" spans="1:3" ht="16.5" thickBot="1" x14ac:dyDescent="0.3">
      <c r="A94" s="36" t="s">
        <v>290</v>
      </c>
      <c r="B94" s="304">
        <f>18.73648621/B27</f>
        <v>0.51218154537473748</v>
      </c>
    </row>
    <row r="95" spans="1:3" ht="16.5" thickBot="1" x14ac:dyDescent="0.3">
      <c r="A95" s="36" t="s">
        <v>291</v>
      </c>
      <c r="B95" s="304">
        <f>0.4104044*1.2/B27</f>
        <v>1.346260280383225E-2</v>
      </c>
    </row>
    <row r="96" spans="1:3" s="300" customFormat="1" ht="34.5" customHeight="1" thickBot="1" x14ac:dyDescent="0.3">
      <c r="A96" s="297" t="s">
        <v>575</v>
      </c>
      <c r="B96" s="298">
        <f xml:space="preserve"> SUMIF(C97:C104, 40,B97:B104)</f>
        <v>1.2824846400000001</v>
      </c>
      <c r="C96" s="299"/>
    </row>
    <row r="97" spans="1:3" s="302" customFormat="1" ht="30.75" thickBot="1" x14ac:dyDescent="0.3">
      <c r="A97" s="382" t="s">
        <v>635</v>
      </c>
      <c r="B97" s="383">
        <v>1.2824846400000001</v>
      </c>
      <c r="C97" s="301">
        <v>40</v>
      </c>
    </row>
    <row r="98" spans="1:3" s="302" customFormat="1" ht="16.5" thickBot="1" x14ac:dyDescent="0.3">
      <c r="A98" s="35" t="s">
        <v>283</v>
      </c>
      <c r="B98" s="64">
        <f t="shared" ref="B98" si="0">B97/$B$27</f>
        <v>3.5058065715864228E-2</v>
      </c>
    </row>
    <row r="99" spans="1:3" s="302" customFormat="1" ht="16.5" thickBot="1" x14ac:dyDescent="0.3">
      <c r="A99" s="35" t="s">
        <v>284</v>
      </c>
      <c r="B99" s="146">
        <v>1.2824846400000001</v>
      </c>
      <c r="C99" s="302">
        <v>1</v>
      </c>
    </row>
    <row r="100" spans="1:3" s="302" customFormat="1" ht="16.5" thickBot="1" x14ac:dyDescent="0.3">
      <c r="A100" s="35" t="s">
        <v>285</v>
      </c>
      <c r="B100" s="146">
        <v>1.2824846400000001</v>
      </c>
      <c r="C100" s="302">
        <v>2</v>
      </c>
    </row>
    <row r="101" spans="1:3" s="302" customFormat="1" ht="16.5" thickBot="1" x14ac:dyDescent="0.3">
      <c r="A101" s="63" t="s">
        <v>282</v>
      </c>
      <c r="B101" s="216"/>
      <c r="C101" s="301">
        <v>40</v>
      </c>
    </row>
    <row r="102" spans="1:3" s="302" customFormat="1" ht="16.5" thickBot="1" x14ac:dyDescent="0.3">
      <c r="A102" s="35" t="s">
        <v>283</v>
      </c>
      <c r="B102" s="64">
        <f t="shared" ref="B102" si="1">B101/$B$27</f>
        <v>0</v>
      </c>
    </row>
    <row r="103" spans="1:3" s="302" customFormat="1" ht="16.5" thickBot="1" x14ac:dyDescent="0.3">
      <c r="A103" s="35" t="s">
        <v>284</v>
      </c>
      <c r="B103" s="146"/>
      <c r="C103" s="302">
        <v>1</v>
      </c>
    </row>
    <row r="104" spans="1:3" s="302" customFormat="1" ht="16.5" thickBot="1" x14ac:dyDescent="0.3">
      <c r="A104" s="35" t="s">
        <v>285</v>
      </c>
      <c r="B104" s="146"/>
      <c r="C104" s="302">
        <v>2</v>
      </c>
    </row>
    <row r="105" spans="1:3" ht="16.5" thickBot="1" x14ac:dyDescent="0.3">
      <c r="A105" s="32" t="s">
        <v>292</v>
      </c>
      <c r="B105" s="65">
        <f>B106/$B$27</f>
        <v>0.86214583007217094</v>
      </c>
    </row>
    <row r="106" spans="1:3" ht="16.5" thickBot="1" x14ac:dyDescent="0.3">
      <c r="A106" s="32" t="s">
        <v>293</v>
      </c>
      <c r="B106" s="147">
        <f xml:space="preserve"> SUMIF(C33:C104, 1,B33:B104)</f>
        <v>31.538784639999999</v>
      </c>
      <c r="C106" s="17">
        <f>'6.2. Паспорт фин осв ввод'!D24-'6.2. Паспорт фин осв ввод'!F24</f>
        <v>-35.29924381</v>
      </c>
    </row>
    <row r="107" spans="1:3" ht="16.5" thickBot="1" x14ac:dyDescent="0.3">
      <c r="A107" s="32" t="s">
        <v>294</v>
      </c>
      <c r="B107" s="65">
        <f>B108/$B$27</f>
        <v>0.86214583608610218</v>
      </c>
    </row>
    <row r="108" spans="1:3" ht="16.5" thickBot="1" x14ac:dyDescent="0.3">
      <c r="A108" s="33" t="s">
        <v>295</v>
      </c>
      <c r="B108" s="147">
        <f xml:space="preserve"> SUMIF(C33:C104, 2,B33:B104)</f>
        <v>31.53878486</v>
      </c>
      <c r="C108" s="17">
        <f>'6.2. Паспорт фин осв ввод'!D30-'6.2. Паспорт фин осв ввод'!F30</f>
        <v>-4.2024529900000012</v>
      </c>
    </row>
    <row r="109" spans="1:3" ht="15.75" customHeight="1" x14ac:dyDescent="0.25">
      <c r="A109" s="34" t="s">
        <v>296</v>
      </c>
      <c r="B109" s="36" t="s">
        <v>400</v>
      </c>
    </row>
    <row r="110" spans="1:3" x14ac:dyDescent="0.25">
      <c r="A110" s="37" t="s">
        <v>297</v>
      </c>
      <c r="B110" s="37" t="s">
        <v>576</v>
      </c>
    </row>
    <row r="111" spans="1:3" x14ac:dyDescent="0.25">
      <c r="A111" s="37" t="s">
        <v>298</v>
      </c>
      <c r="B111" s="37" t="s">
        <v>618</v>
      </c>
    </row>
    <row r="112" spans="1:3" x14ac:dyDescent="0.25">
      <c r="A112" s="37" t="s">
        <v>299</v>
      </c>
      <c r="B112" s="37"/>
    </row>
    <row r="113" spans="1:2" x14ac:dyDescent="0.25">
      <c r="A113" s="37" t="s">
        <v>300</v>
      </c>
      <c r="B113" s="37" t="s">
        <v>618</v>
      </c>
    </row>
    <row r="114" spans="1:2" ht="16.5" thickBot="1" x14ac:dyDescent="0.3">
      <c r="A114" s="38" t="s">
        <v>301</v>
      </c>
      <c r="B114" s="38"/>
    </row>
    <row r="115" spans="1:2" ht="30.75" thickBot="1" x14ac:dyDescent="0.3">
      <c r="A115" s="36" t="s">
        <v>302</v>
      </c>
      <c r="B115" s="66" t="s">
        <v>467</v>
      </c>
    </row>
    <row r="116" spans="1:2" ht="29.25" thickBot="1" x14ac:dyDescent="0.3">
      <c r="A116" s="32" t="s">
        <v>303</v>
      </c>
      <c r="B116" s="290">
        <v>7</v>
      </c>
    </row>
    <row r="117" spans="1:2" ht="16.5" thickBot="1" x14ac:dyDescent="0.3">
      <c r="A117" s="36" t="s">
        <v>280</v>
      </c>
      <c r="B117" s="291"/>
    </row>
    <row r="118" spans="1:2" ht="16.5" thickBot="1" x14ac:dyDescent="0.3">
      <c r="A118" s="36" t="s">
        <v>304</v>
      </c>
      <c r="B118" s="290">
        <v>4</v>
      </c>
    </row>
    <row r="119" spans="1:2" ht="16.5" thickBot="1" x14ac:dyDescent="0.3">
      <c r="A119" s="36" t="s">
        <v>305</v>
      </c>
      <c r="B119" s="291">
        <v>3</v>
      </c>
    </row>
    <row r="120" spans="1:2" ht="16.5" thickBot="1" x14ac:dyDescent="0.3">
      <c r="A120" s="41" t="s">
        <v>306</v>
      </c>
      <c r="B120" s="169" t="s">
        <v>619</v>
      </c>
    </row>
    <row r="121" spans="1:2" ht="16.5" thickBot="1" x14ac:dyDescent="0.3">
      <c r="A121" s="32" t="s">
        <v>307</v>
      </c>
      <c r="B121" s="68"/>
    </row>
    <row r="122" spans="1:2" ht="16.5" thickBot="1" x14ac:dyDescent="0.3">
      <c r="A122" s="37" t="s">
        <v>308</v>
      </c>
      <c r="B122" s="217" t="str">
        <f>'6.1. Паспорт сетевой график'!H43</f>
        <v>не требуется</v>
      </c>
    </row>
    <row r="123" spans="1:2" ht="16.5" thickBot="1" x14ac:dyDescent="0.3">
      <c r="A123" s="37" t="s">
        <v>309</v>
      </c>
      <c r="B123" s="69" t="s">
        <v>467</v>
      </c>
    </row>
    <row r="124" spans="1:2" ht="16.5" thickBot="1" x14ac:dyDescent="0.3">
      <c r="A124" s="37" t="s">
        <v>310</v>
      </c>
      <c r="B124" s="69" t="s">
        <v>467</v>
      </c>
    </row>
    <row r="125" spans="1:2" ht="120.75" thickBot="1" x14ac:dyDescent="0.3">
      <c r="A125" s="42" t="s">
        <v>311</v>
      </c>
      <c r="B125" s="67" t="s">
        <v>637</v>
      </c>
    </row>
    <row r="126" spans="1:2" ht="28.5" customHeight="1" x14ac:dyDescent="0.25">
      <c r="A126" s="34" t="s">
        <v>312</v>
      </c>
      <c r="B126" s="528" t="s">
        <v>632</v>
      </c>
    </row>
    <row r="127" spans="1:2" x14ac:dyDescent="0.25">
      <c r="A127" s="37" t="s">
        <v>313</v>
      </c>
      <c r="B127" s="529"/>
    </row>
    <row r="128" spans="1:2" x14ac:dyDescent="0.25">
      <c r="A128" s="37" t="s">
        <v>314</v>
      </c>
      <c r="B128" s="529"/>
    </row>
    <row r="129" spans="1:2" x14ac:dyDescent="0.25">
      <c r="A129" s="37" t="s">
        <v>315</v>
      </c>
      <c r="B129" s="529"/>
    </row>
    <row r="130" spans="1:2" x14ac:dyDescent="0.25">
      <c r="A130" s="37" t="s">
        <v>316</v>
      </c>
      <c r="B130" s="529"/>
    </row>
    <row r="131" spans="1:2" ht="16.5" thickBot="1" x14ac:dyDescent="0.3">
      <c r="A131" s="43" t="s">
        <v>317</v>
      </c>
      <c r="B131" s="530"/>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L14" zoomScale="55" zoomScaleSheetLayoutView="55" workbookViewId="0">
      <selection activeCell="S23" sqref="S23"/>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97" t="str">
        <f>CONCATENATE('1. паспорт местоположение'!A5:B5,'1. паспорт местоположение'!C5)</f>
        <v>Год раскрытия информации: 2025 год</v>
      </c>
      <c r="B4" s="397"/>
      <c r="C4" s="397"/>
      <c r="D4" s="397"/>
      <c r="E4" s="397"/>
      <c r="F4" s="397"/>
      <c r="G4" s="397"/>
      <c r="H4" s="397"/>
      <c r="I4" s="397"/>
      <c r="J4" s="397"/>
      <c r="K4" s="397"/>
      <c r="L4" s="397"/>
      <c r="M4" s="397"/>
      <c r="N4" s="397"/>
      <c r="O4" s="397"/>
      <c r="P4" s="397"/>
      <c r="Q4" s="397"/>
      <c r="R4" s="397"/>
      <c r="S4" s="397"/>
    </row>
    <row r="5" spans="1:28" s="2" customFormat="1" ht="15.75" x14ac:dyDescent="0.2">
      <c r="A5" s="73"/>
    </row>
    <row r="6" spans="1:28" s="2" customFormat="1" ht="18.75" x14ac:dyDescent="0.2">
      <c r="A6" s="404" t="s">
        <v>7</v>
      </c>
      <c r="B6" s="404"/>
      <c r="C6" s="404"/>
      <c r="D6" s="404"/>
      <c r="E6" s="404"/>
      <c r="F6" s="404"/>
      <c r="G6" s="404"/>
      <c r="H6" s="404"/>
      <c r="I6" s="404"/>
      <c r="J6" s="404"/>
      <c r="K6" s="404"/>
      <c r="L6" s="404"/>
      <c r="M6" s="404"/>
      <c r="N6" s="404"/>
      <c r="O6" s="404"/>
      <c r="P6" s="404"/>
      <c r="Q6" s="404"/>
      <c r="R6" s="404"/>
      <c r="S6" s="404"/>
      <c r="T6" s="74"/>
      <c r="U6" s="74"/>
      <c r="V6" s="74"/>
      <c r="W6" s="74"/>
      <c r="X6" s="74"/>
      <c r="Y6" s="74"/>
      <c r="Z6" s="74"/>
      <c r="AA6" s="74"/>
      <c r="AB6" s="74"/>
    </row>
    <row r="7" spans="1:28" s="2" customFormat="1" ht="18.75" x14ac:dyDescent="0.2">
      <c r="A7" s="404"/>
      <c r="B7" s="404"/>
      <c r="C7" s="404"/>
      <c r="D7" s="404"/>
      <c r="E7" s="404"/>
      <c r="F7" s="404"/>
      <c r="G7" s="404"/>
      <c r="H7" s="404"/>
      <c r="I7" s="404"/>
      <c r="J7" s="404"/>
      <c r="K7" s="404"/>
      <c r="L7" s="404"/>
      <c r="M7" s="404"/>
      <c r="N7" s="404"/>
      <c r="O7" s="404"/>
      <c r="P7" s="404"/>
      <c r="Q7" s="404"/>
      <c r="R7" s="404"/>
      <c r="S7" s="404"/>
      <c r="T7" s="74"/>
      <c r="U7" s="74"/>
      <c r="V7" s="74"/>
      <c r="W7" s="74"/>
      <c r="X7" s="74"/>
      <c r="Y7" s="74"/>
      <c r="Z7" s="74"/>
      <c r="AA7" s="74"/>
      <c r="AB7" s="74"/>
    </row>
    <row r="8" spans="1:28" s="2" customFormat="1" ht="18.75" x14ac:dyDescent="0.2">
      <c r="A8" s="409" t="str">
        <f>'1. паспорт местоположение'!A9:C9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74"/>
      <c r="U8" s="74"/>
      <c r="V8" s="74"/>
      <c r="W8" s="74"/>
      <c r="X8" s="74"/>
      <c r="Y8" s="74"/>
      <c r="Z8" s="74"/>
      <c r="AA8" s="74"/>
      <c r="AB8" s="74"/>
    </row>
    <row r="9" spans="1:28" s="2" customFormat="1" ht="18.75" x14ac:dyDescent="0.2">
      <c r="A9" s="401" t="s">
        <v>6</v>
      </c>
      <c r="B9" s="401"/>
      <c r="C9" s="401"/>
      <c r="D9" s="401"/>
      <c r="E9" s="401"/>
      <c r="F9" s="401"/>
      <c r="G9" s="401"/>
      <c r="H9" s="401"/>
      <c r="I9" s="401"/>
      <c r="J9" s="401"/>
      <c r="K9" s="401"/>
      <c r="L9" s="401"/>
      <c r="M9" s="401"/>
      <c r="N9" s="401"/>
      <c r="O9" s="401"/>
      <c r="P9" s="401"/>
      <c r="Q9" s="401"/>
      <c r="R9" s="401"/>
      <c r="S9" s="401"/>
      <c r="T9" s="74"/>
      <c r="U9" s="74"/>
      <c r="V9" s="74"/>
      <c r="W9" s="74"/>
      <c r="X9" s="74"/>
      <c r="Y9" s="74"/>
      <c r="Z9" s="74"/>
      <c r="AA9" s="74"/>
      <c r="AB9" s="74"/>
    </row>
    <row r="10" spans="1:28" s="2" customFormat="1" ht="18.75" x14ac:dyDescent="0.2">
      <c r="A10" s="404"/>
      <c r="B10" s="404"/>
      <c r="C10" s="404"/>
      <c r="D10" s="404"/>
      <c r="E10" s="404"/>
      <c r="F10" s="404"/>
      <c r="G10" s="404"/>
      <c r="H10" s="404"/>
      <c r="I10" s="404"/>
      <c r="J10" s="404"/>
      <c r="K10" s="404"/>
      <c r="L10" s="404"/>
      <c r="M10" s="404"/>
      <c r="N10" s="404"/>
      <c r="O10" s="404"/>
      <c r="P10" s="404"/>
      <c r="Q10" s="404"/>
      <c r="R10" s="404"/>
      <c r="S10" s="404"/>
      <c r="T10" s="74"/>
      <c r="U10" s="74"/>
      <c r="V10" s="74"/>
      <c r="W10" s="74"/>
      <c r="X10" s="74"/>
      <c r="Y10" s="74"/>
      <c r="Z10" s="74"/>
      <c r="AA10" s="74"/>
      <c r="AB10" s="74"/>
    </row>
    <row r="11" spans="1:28" s="2" customFormat="1" ht="18.75" x14ac:dyDescent="0.2">
      <c r="A11" s="409" t="str">
        <f>'1. паспорт местоположение'!A12:C12</f>
        <v>N_21-1806</v>
      </c>
      <c r="B11" s="409"/>
      <c r="C11" s="409"/>
      <c r="D11" s="409"/>
      <c r="E11" s="409"/>
      <c r="F11" s="409"/>
      <c r="G11" s="409"/>
      <c r="H11" s="409"/>
      <c r="I11" s="409"/>
      <c r="J11" s="409"/>
      <c r="K11" s="409"/>
      <c r="L11" s="409"/>
      <c r="M11" s="409"/>
      <c r="N11" s="409"/>
      <c r="O11" s="409"/>
      <c r="P11" s="409"/>
      <c r="Q11" s="409"/>
      <c r="R11" s="409"/>
      <c r="S11" s="409"/>
      <c r="T11" s="74"/>
      <c r="U11" s="74"/>
      <c r="V11" s="74"/>
      <c r="W11" s="74"/>
      <c r="X11" s="74"/>
      <c r="Y11" s="74"/>
      <c r="Z11" s="74"/>
      <c r="AA11" s="74"/>
      <c r="AB11" s="74"/>
    </row>
    <row r="12" spans="1:28" s="2"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74"/>
      <c r="U12" s="74"/>
      <c r="V12" s="74"/>
      <c r="W12" s="74"/>
      <c r="X12" s="74"/>
      <c r="Y12" s="74"/>
      <c r="Z12" s="74"/>
      <c r="AA12" s="74"/>
      <c r="AB12" s="74"/>
    </row>
    <row r="13" spans="1:28" s="79"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78"/>
      <c r="U13" s="78"/>
      <c r="V13" s="78"/>
      <c r="W13" s="78"/>
      <c r="X13" s="78"/>
      <c r="Y13" s="78"/>
      <c r="Z13" s="78"/>
      <c r="AA13" s="78"/>
      <c r="AB13" s="78"/>
    </row>
    <row r="14" spans="1:28" s="80" customFormat="1" ht="15.75" x14ac:dyDescent="0.2">
      <c r="A14" s="406"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6"/>
      <c r="C14" s="406"/>
      <c r="D14" s="406"/>
      <c r="E14" s="406"/>
      <c r="F14" s="406"/>
      <c r="G14" s="406"/>
      <c r="H14" s="406"/>
      <c r="I14" s="406"/>
      <c r="J14" s="406"/>
      <c r="K14" s="406"/>
      <c r="L14" s="406"/>
      <c r="M14" s="406"/>
      <c r="N14" s="406"/>
      <c r="O14" s="406"/>
      <c r="P14" s="406"/>
      <c r="Q14" s="406"/>
      <c r="R14" s="406"/>
      <c r="S14" s="406"/>
      <c r="T14" s="76"/>
      <c r="U14" s="76"/>
      <c r="V14" s="76"/>
      <c r="W14" s="76"/>
      <c r="X14" s="76"/>
      <c r="Y14" s="76"/>
      <c r="Z14" s="76"/>
      <c r="AA14" s="76"/>
      <c r="AB14" s="76"/>
    </row>
    <row r="15" spans="1:28" s="80"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77"/>
      <c r="U15" s="77"/>
      <c r="V15" s="77"/>
      <c r="W15" s="77"/>
      <c r="X15" s="77"/>
      <c r="Y15" s="77"/>
      <c r="Z15" s="77"/>
      <c r="AA15" s="77"/>
      <c r="AB15" s="77"/>
    </row>
    <row r="16" spans="1:28" s="80"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81"/>
      <c r="U16" s="81"/>
      <c r="V16" s="81"/>
      <c r="W16" s="81"/>
      <c r="X16" s="81"/>
      <c r="Y16" s="81"/>
    </row>
    <row r="17" spans="1:28" s="80" customFormat="1" ht="45.75" customHeight="1" x14ac:dyDescent="0.2">
      <c r="A17" s="402" t="s">
        <v>348</v>
      </c>
      <c r="B17" s="402"/>
      <c r="C17" s="402"/>
      <c r="D17" s="402"/>
      <c r="E17" s="402"/>
      <c r="F17" s="402"/>
      <c r="G17" s="402"/>
      <c r="H17" s="402"/>
      <c r="I17" s="402"/>
      <c r="J17" s="402"/>
      <c r="K17" s="402"/>
      <c r="L17" s="402"/>
      <c r="M17" s="402"/>
      <c r="N17" s="402"/>
      <c r="O17" s="402"/>
      <c r="P17" s="402"/>
      <c r="Q17" s="402"/>
      <c r="R17" s="402"/>
      <c r="S17" s="402"/>
      <c r="T17" s="82"/>
      <c r="U17" s="82"/>
      <c r="V17" s="82"/>
      <c r="W17" s="82"/>
      <c r="X17" s="82"/>
      <c r="Y17" s="82"/>
      <c r="Z17" s="82"/>
      <c r="AA17" s="82"/>
      <c r="AB17" s="82"/>
    </row>
    <row r="18" spans="1:28" s="80"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81"/>
      <c r="U18" s="81"/>
      <c r="V18" s="81"/>
      <c r="W18" s="81"/>
      <c r="X18" s="81"/>
      <c r="Y18" s="81"/>
    </row>
    <row r="19" spans="1:28" s="80" customFormat="1" ht="54" customHeight="1" x14ac:dyDescent="0.2">
      <c r="A19" s="411" t="s">
        <v>3</v>
      </c>
      <c r="B19" s="411" t="s">
        <v>94</v>
      </c>
      <c r="C19" s="412" t="s">
        <v>271</v>
      </c>
      <c r="D19" s="411" t="s">
        <v>270</v>
      </c>
      <c r="E19" s="411" t="s">
        <v>93</v>
      </c>
      <c r="F19" s="411" t="s">
        <v>92</v>
      </c>
      <c r="G19" s="411" t="s">
        <v>266</v>
      </c>
      <c r="H19" s="411" t="s">
        <v>91</v>
      </c>
      <c r="I19" s="411" t="s">
        <v>90</v>
      </c>
      <c r="J19" s="411" t="s">
        <v>89</v>
      </c>
      <c r="K19" s="411" t="s">
        <v>88</v>
      </c>
      <c r="L19" s="411" t="s">
        <v>87</v>
      </c>
      <c r="M19" s="411" t="s">
        <v>86</v>
      </c>
      <c r="N19" s="411" t="s">
        <v>85</v>
      </c>
      <c r="O19" s="411" t="s">
        <v>84</v>
      </c>
      <c r="P19" s="411" t="s">
        <v>83</v>
      </c>
      <c r="Q19" s="411" t="s">
        <v>269</v>
      </c>
      <c r="R19" s="411"/>
      <c r="S19" s="414" t="s">
        <v>342</v>
      </c>
      <c r="T19" s="81"/>
      <c r="U19" s="81"/>
      <c r="V19" s="81"/>
      <c r="W19" s="81"/>
      <c r="X19" s="81"/>
      <c r="Y19" s="81"/>
    </row>
    <row r="20" spans="1:28" s="80" customFormat="1" ht="180.75" customHeight="1" x14ac:dyDescent="0.2">
      <c r="A20" s="411"/>
      <c r="B20" s="411"/>
      <c r="C20" s="413"/>
      <c r="D20" s="411"/>
      <c r="E20" s="411"/>
      <c r="F20" s="411"/>
      <c r="G20" s="411"/>
      <c r="H20" s="411"/>
      <c r="I20" s="411"/>
      <c r="J20" s="411"/>
      <c r="K20" s="411"/>
      <c r="L20" s="411"/>
      <c r="M20" s="411"/>
      <c r="N20" s="411"/>
      <c r="O20" s="411"/>
      <c r="P20" s="411"/>
      <c r="Q20" s="99" t="s">
        <v>267</v>
      </c>
      <c r="R20" s="100" t="s">
        <v>268</v>
      </c>
      <c r="S20" s="41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8.75" customHeight="1" x14ac:dyDescent="0.2">
      <c r="A22" s="85">
        <v>1</v>
      </c>
      <c r="B22" s="85" t="s">
        <v>597</v>
      </c>
      <c r="C22" s="85" t="s">
        <v>602</v>
      </c>
      <c r="D22" s="85" t="s">
        <v>634</v>
      </c>
      <c r="E22" s="85" t="s">
        <v>598</v>
      </c>
      <c r="F22" s="85" t="s">
        <v>599</v>
      </c>
      <c r="G22" s="85" t="s">
        <v>600</v>
      </c>
      <c r="H22" s="85">
        <v>0.19900000000000001</v>
      </c>
      <c r="I22" s="85"/>
      <c r="J22" s="85">
        <v>0.19900000000000001</v>
      </c>
      <c r="K22" s="85" t="s">
        <v>578</v>
      </c>
      <c r="L22" s="85">
        <v>1</v>
      </c>
      <c r="M22" s="85">
        <v>0.5</v>
      </c>
      <c r="N22" s="85">
        <v>2</v>
      </c>
      <c r="O22" s="85"/>
      <c r="P22" s="85"/>
      <c r="Q22" s="97" t="s">
        <v>601</v>
      </c>
      <c r="R22" s="85"/>
      <c r="S22" s="85">
        <v>14.471327759999999</v>
      </c>
      <c r="T22" s="87"/>
      <c r="U22" s="87"/>
      <c r="V22" s="87"/>
      <c r="W22" s="87"/>
      <c r="X22" s="87"/>
      <c r="Y22" s="87"/>
      <c r="Z22" s="88"/>
      <c r="AA22" s="88"/>
      <c r="AB22" s="88"/>
    </row>
    <row r="23" spans="1:28" s="80" customFormat="1" ht="18.75" x14ac:dyDescent="0.2">
      <c r="A23" s="99"/>
      <c r="B23" s="101" t="s">
        <v>468</v>
      </c>
      <c r="C23" s="101"/>
      <c r="D23" s="101"/>
      <c r="E23" s="101"/>
      <c r="F23" s="101"/>
      <c r="G23" s="101"/>
      <c r="H23" s="55">
        <f>SUM(H22:H22)</f>
        <v>0.19900000000000001</v>
      </c>
      <c r="I23" s="3"/>
      <c r="J23" s="55">
        <f>SUM(J22:J22)</f>
        <v>0.19900000000000001</v>
      </c>
      <c r="K23" s="3"/>
      <c r="L23" s="3"/>
      <c r="M23" s="3"/>
      <c r="N23" s="3"/>
      <c r="O23" s="3"/>
      <c r="P23" s="3"/>
      <c r="Q23" s="3"/>
      <c r="R23" s="102"/>
      <c r="S23" s="55">
        <f>SUM(S22)</f>
        <v>14.471327759999999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4" zoomScale="80" zoomScaleNormal="60" zoomScaleSheetLayoutView="80" workbookViewId="0">
      <selection activeCell="P24" sqref="P24"/>
    </sheetView>
  </sheetViews>
  <sheetFormatPr defaultColWidth="10.7109375" defaultRowHeight="15.75" x14ac:dyDescent="0.25"/>
  <cols>
    <col min="1" max="1" width="9.5703125" style="6" customWidth="1"/>
    <col min="2" max="4" width="19" style="6" customWidth="1"/>
    <col min="5" max="5" width="11.140625" style="6" customWidth="1"/>
    <col min="6" max="6" width="16.7109375" style="6" customWidth="1"/>
    <col min="7" max="7" width="8.7109375" style="6" customWidth="1"/>
    <col min="8" max="8" width="20.425781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397" t="str">
        <f>'2. паспорт  ТП'!A4</f>
        <v>Год раскрытия информации: 2025 год</v>
      </c>
      <c r="B5" s="397"/>
      <c r="C5" s="397"/>
      <c r="D5" s="397"/>
      <c r="E5" s="397"/>
      <c r="F5" s="397"/>
      <c r="G5" s="397"/>
      <c r="H5" s="397"/>
      <c r="I5" s="397"/>
      <c r="J5" s="397"/>
      <c r="K5" s="397"/>
      <c r="L5" s="397"/>
      <c r="M5" s="397"/>
      <c r="N5" s="397"/>
      <c r="O5" s="397"/>
      <c r="P5" s="397"/>
      <c r="Q5" s="397"/>
      <c r="R5" s="397"/>
      <c r="S5" s="397"/>
      <c r="T5" s="397"/>
    </row>
    <row r="6" spans="1:20" s="2" customFormat="1" x14ac:dyDescent="0.2">
      <c r="A6" s="73"/>
      <c r="H6" s="150"/>
    </row>
    <row r="7" spans="1:20" s="2" customFormat="1" ht="18.75" x14ac:dyDescent="0.2">
      <c r="A7" s="404" t="s">
        <v>7</v>
      </c>
      <c r="B7" s="404"/>
      <c r="C7" s="404"/>
      <c r="D7" s="404"/>
      <c r="E7" s="404"/>
      <c r="F7" s="404"/>
      <c r="G7" s="404"/>
      <c r="H7" s="404"/>
      <c r="I7" s="404"/>
      <c r="J7" s="404"/>
      <c r="K7" s="404"/>
      <c r="L7" s="404"/>
      <c r="M7" s="404"/>
      <c r="N7" s="404"/>
      <c r="O7" s="404"/>
      <c r="P7" s="404"/>
      <c r="Q7" s="404"/>
      <c r="R7" s="404"/>
      <c r="S7" s="404"/>
      <c r="T7" s="404"/>
    </row>
    <row r="8" spans="1:20" s="2" customFormat="1" ht="18.75" x14ac:dyDescent="0.2">
      <c r="A8" s="404"/>
      <c r="B8" s="404"/>
      <c r="C8" s="404"/>
      <c r="D8" s="404"/>
      <c r="E8" s="404"/>
      <c r="F8" s="404"/>
      <c r="G8" s="404"/>
      <c r="H8" s="404"/>
      <c r="I8" s="404"/>
      <c r="J8" s="404"/>
      <c r="K8" s="404"/>
      <c r="L8" s="404"/>
      <c r="M8" s="404"/>
      <c r="N8" s="404"/>
      <c r="O8" s="404"/>
      <c r="P8" s="404"/>
      <c r="Q8" s="404"/>
      <c r="R8" s="404"/>
      <c r="S8" s="404"/>
      <c r="T8" s="404"/>
    </row>
    <row r="9" spans="1:20" s="2" customFormat="1" ht="18.75" customHeight="1" x14ac:dyDescent="0.2">
      <c r="A9" s="409" t="str">
        <f>'2. паспорт  ТП'!A8</f>
        <v>Акционерное общество "Россети Янтарь" ДЗО  ПАО "Россети"</v>
      </c>
      <c r="B9" s="409"/>
      <c r="C9" s="409"/>
      <c r="D9" s="409"/>
      <c r="E9" s="409"/>
      <c r="F9" s="409"/>
      <c r="G9" s="409"/>
      <c r="H9" s="409"/>
      <c r="I9" s="409"/>
      <c r="J9" s="409"/>
      <c r="K9" s="409"/>
      <c r="L9" s="409"/>
      <c r="M9" s="409"/>
      <c r="N9" s="409"/>
      <c r="O9" s="409"/>
      <c r="P9" s="409"/>
      <c r="Q9" s="409"/>
      <c r="R9" s="409"/>
      <c r="S9" s="409"/>
      <c r="T9" s="409"/>
    </row>
    <row r="10" spans="1:20" s="2" customFormat="1" ht="18.75" customHeight="1" x14ac:dyDescent="0.2">
      <c r="A10" s="401" t="s">
        <v>6</v>
      </c>
      <c r="B10" s="401"/>
      <c r="C10" s="401"/>
      <c r="D10" s="401"/>
      <c r="E10" s="401"/>
      <c r="F10" s="401"/>
      <c r="G10" s="401"/>
      <c r="H10" s="401"/>
      <c r="I10" s="401"/>
      <c r="J10" s="401"/>
      <c r="K10" s="401"/>
      <c r="L10" s="401"/>
      <c r="M10" s="401"/>
      <c r="N10" s="401"/>
      <c r="O10" s="401"/>
      <c r="P10" s="401"/>
      <c r="Q10" s="401"/>
      <c r="R10" s="401"/>
      <c r="S10" s="401"/>
      <c r="T10" s="401"/>
    </row>
    <row r="11" spans="1:20" s="2" customFormat="1" ht="18.75" x14ac:dyDescent="0.2">
      <c r="A11" s="404"/>
      <c r="B11" s="404"/>
      <c r="C11" s="404"/>
      <c r="D11" s="404"/>
      <c r="E11" s="404"/>
      <c r="F11" s="404"/>
      <c r="G11" s="404"/>
      <c r="H11" s="404"/>
      <c r="I11" s="404"/>
      <c r="J11" s="404"/>
      <c r="K11" s="404"/>
      <c r="L11" s="404"/>
      <c r="M11" s="404"/>
      <c r="N11" s="404"/>
      <c r="O11" s="404"/>
      <c r="P11" s="404"/>
      <c r="Q11" s="404"/>
      <c r="R11" s="404"/>
      <c r="S11" s="404"/>
      <c r="T11" s="404"/>
    </row>
    <row r="12" spans="1:20" s="2" customFormat="1" ht="18.75" customHeight="1" x14ac:dyDescent="0.2">
      <c r="A12" s="409" t="str">
        <f>'2. паспорт  ТП'!A11</f>
        <v>N_21-1806</v>
      </c>
      <c r="B12" s="409"/>
      <c r="C12" s="409"/>
      <c r="D12" s="409"/>
      <c r="E12" s="409"/>
      <c r="F12" s="409"/>
      <c r="G12" s="409"/>
      <c r="H12" s="409"/>
      <c r="I12" s="409"/>
      <c r="J12" s="409"/>
      <c r="K12" s="409"/>
      <c r="L12" s="409"/>
      <c r="M12" s="409"/>
      <c r="N12" s="409"/>
      <c r="O12" s="409"/>
      <c r="P12" s="409"/>
      <c r="Q12" s="409"/>
      <c r="R12" s="409"/>
      <c r="S12" s="409"/>
      <c r="T12" s="409"/>
    </row>
    <row r="13" spans="1:20" s="2" customFormat="1" ht="18.75" customHeight="1" x14ac:dyDescent="0.2">
      <c r="A13" s="401" t="s">
        <v>5</v>
      </c>
      <c r="B13" s="401"/>
      <c r="C13" s="401"/>
      <c r="D13" s="401"/>
      <c r="E13" s="401"/>
      <c r="F13" s="401"/>
      <c r="G13" s="401"/>
      <c r="H13" s="401"/>
      <c r="I13" s="401"/>
      <c r="J13" s="401"/>
      <c r="K13" s="401"/>
      <c r="L13" s="401"/>
      <c r="M13" s="401"/>
      <c r="N13" s="401"/>
      <c r="O13" s="401"/>
      <c r="P13" s="401"/>
      <c r="Q13" s="401"/>
      <c r="R13" s="401"/>
      <c r="S13" s="401"/>
      <c r="T13" s="401"/>
    </row>
    <row r="14" spans="1:20" s="79" customFormat="1" ht="15.75" customHeight="1" x14ac:dyDescent="0.2">
      <c r="A14" s="410"/>
      <c r="B14" s="410"/>
      <c r="C14" s="410"/>
      <c r="D14" s="410"/>
      <c r="E14" s="410"/>
      <c r="F14" s="410"/>
      <c r="G14" s="410"/>
      <c r="H14" s="410"/>
      <c r="I14" s="410"/>
      <c r="J14" s="410"/>
      <c r="K14" s="410"/>
      <c r="L14" s="410"/>
      <c r="M14" s="410"/>
      <c r="N14" s="410"/>
      <c r="O14" s="410"/>
      <c r="P14" s="410"/>
      <c r="Q14" s="410"/>
      <c r="R14" s="410"/>
      <c r="S14" s="410"/>
      <c r="T14" s="410"/>
    </row>
    <row r="15" spans="1:20" s="80" customFormat="1" ht="42.75" customHeight="1" x14ac:dyDescent="0.2">
      <c r="A15" s="406" t="str">
        <f>'2. паспорт  ТП'!A14</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6"/>
      <c r="C15" s="406"/>
      <c r="D15" s="406"/>
      <c r="E15" s="406"/>
      <c r="F15" s="406"/>
      <c r="G15" s="406"/>
      <c r="H15" s="406"/>
      <c r="I15" s="406"/>
      <c r="J15" s="406"/>
      <c r="K15" s="406"/>
      <c r="L15" s="406"/>
      <c r="M15" s="406"/>
      <c r="N15" s="406"/>
      <c r="O15" s="406"/>
      <c r="P15" s="406"/>
      <c r="Q15" s="406"/>
      <c r="R15" s="406"/>
      <c r="S15" s="406"/>
      <c r="T15" s="406"/>
    </row>
    <row r="16" spans="1:20" s="80" customFormat="1" ht="15" customHeight="1" x14ac:dyDescent="0.2">
      <c r="A16" s="401" t="s">
        <v>4</v>
      </c>
      <c r="B16" s="401"/>
      <c r="C16" s="401"/>
      <c r="D16" s="401"/>
      <c r="E16" s="401"/>
      <c r="F16" s="401"/>
      <c r="G16" s="401"/>
      <c r="H16" s="401"/>
      <c r="I16" s="401"/>
      <c r="J16" s="401"/>
      <c r="K16" s="401"/>
      <c r="L16" s="401"/>
      <c r="M16" s="401"/>
      <c r="N16" s="401"/>
      <c r="O16" s="401"/>
      <c r="P16" s="401"/>
      <c r="Q16" s="401"/>
      <c r="R16" s="401"/>
      <c r="S16" s="401"/>
      <c r="T16" s="401"/>
    </row>
    <row r="17" spans="1:113" s="80" customFormat="1" ht="15" customHeight="1" x14ac:dyDescent="0.2">
      <c r="A17" s="407"/>
      <c r="B17" s="407"/>
      <c r="C17" s="407"/>
      <c r="D17" s="407"/>
      <c r="E17" s="407"/>
      <c r="F17" s="407"/>
      <c r="G17" s="407"/>
      <c r="H17" s="407"/>
      <c r="I17" s="407"/>
      <c r="J17" s="407"/>
      <c r="K17" s="407"/>
      <c r="L17" s="407"/>
      <c r="M17" s="407"/>
      <c r="N17" s="407"/>
      <c r="O17" s="407"/>
      <c r="P17" s="407"/>
      <c r="Q17" s="407"/>
      <c r="R17" s="407"/>
      <c r="S17" s="407"/>
      <c r="T17" s="407"/>
    </row>
    <row r="18" spans="1:113" s="80" customFormat="1" ht="15" customHeight="1" x14ac:dyDescent="0.2">
      <c r="A18" s="403" t="s">
        <v>353</v>
      </c>
      <c r="B18" s="403"/>
      <c r="C18" s="403"/>
      <c r="D18" s="403"/>
      <c r="E18" s="403"/>
      <c r="F18" s="403"/>
      <c r="G18" s="403"/>
      <c r="H18" s="403"/>
      <c r="I18" s="403"/>
      <c r="J18" s="403"/>
      <c r="K18" s="403"/>
      <c r="L18" s="403"/>
      <c r="M18" s="403"/>
      <c r="N18" s="403"/>
      <c r="O18" s="403"/>
      <c r="P18" s="403"/>
      <c r="Q18" s="403"/>
      <c r="R18" s="403"/>
      <c r="S18" s="403"/>
      <c r="T18" s="403"/>
    </row>
    <row r="19" spans="1:113" s="13" customFormat="1" ht="21" customHeight="1" x14ac:dyDescent="0.25">
      <c r="A19" s="418"/>
      <c r="B19" s="418"/>
      <c r="C19" s="418"/>
      <c r="D19" s="418"/>
      <c r="E19" s="418"/>
      <c r="F19" s="418"/>
      <c r="G19" s="418"/>
      <c r="H19" s="418"/>
      <c r="I19" s="418"/>
      <c r="J19" s="418"/>
      <c r="K19" s="418"/>
      <c r="L19" s="418"/>
      <c r="M19" s="418"/>
      <c r="N19" s="418"/>
      <c r="O19" s="418"/>
      <c r="P19" s="418"/>
      <c r="Q19" s="418"/>
      <c r="R19" s="418"/>
      <c r="S19" s="418"/>
      <c r="T19" s="418"/>
    </row>
    <row r="20" spans="1:113" ht="46.5" customHeight="1" x14ac:dyDescent="0.25">
      <c r="A20" s="427" t="s">
        <v>3</v>
      </c>
      <c r="B20" s="420" t="s">
        <v>194</v>
      </c>
      <c r="C20" s="421"/>
      <c r="D20" s="424" t="s">
        <v>116</v>
      </c>
      <c r="E20" s="420" t="s">
        <v>380</v>
      </c>
      <c r="F20" s="421"/>
      <c r="G20" s="420" t="s">
        <v>212</v>
      </c>
      <c r="H20" s="421"/>
      <c r="I20" s="420" t="s">
        <v>115</v>
      </c>
      <c r="J20" s="421"/>
      <c r="K20" s="424" t="s">
        <v>114</v>
      </c>
      <c r="L20" s="420" t="s">
        <v>113</v>
      </c>
      <c r="M20" s="421"/>
      <c r="N20" s="420" t="s">
        <v>449</v>
      </c>
      <c r="O20" s="421"/>
      <c r="P20" s="424" t="s">
        <v>112</v>
      </c>
      <c r="Q20" s="415" t="s">
        <v>111</v>
      </c>
      <c r="R20" s="416"/>
      <c r="S20" s="415" t="s">
        <v>110</v>
      </c>
      <c r="T20" s="417"/>
    </row>
    <row r="21" spans="1:113" ht="204.75" customHeight="1" x14ac:dyDescent="0.25">
      <c r="A21" s="428"/>
      <c r="B21" s="422"/>
      <c r="C21" s="423"/>
      <c r="D21" s="426"/>
      <c r="E21" s="422"/>
      <c r="F21" s="423"/>
      <c r="G21" s="422"/>
      <c r="H21" s="423"/>
      <c r="I21" s="422"/>
      <c r="J21" s="423"/>
      <c r="K21" s="425"/>
      <c r="L21" s="422"/>
      <c r="M21" s="423"/>
      <c r="N21" s="422"/>
      <c r="O21" s="423"/>
      <c r="P21" s="425"/>
      <c r="Q21" s="27" t="s">
        <v>109</v>
      </c>
      <c r="R21" s="27" t="s">
        <v>352</v>
      </c>
      <c r="S21" s="27" t="s">
        <v>108</v>
      </c>
      <c r="T21" s="27" t="s">
        <v>107</v>
      </c>
    </row>
    <row r="22" spans="1:113" ht="51.75" customHeight="1" x14ac:dyDescent="0.25">
      <c r="A22" s="429"/>
      <c r="B22" s="48" t="s">
        <v>105</v>
      </c>
      <c r="C22" s="48" t="s">
        <v>106</v>
      </c>
      <c r="D22" s="42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1">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294">
        <v>1</v>
      </c>
      <c r="B24" s="294" t="s">
        <v>265</v>
      </c>
      <c r="C24" s="294" t="s">
        <v>603</v>
      </c>
      <c r="D24" s="294" t="s">
        <v>101</v>
      </c>
      <c r="E24" s="295" t="s">
        <v>265</v>
      </c>
      <c r="F24" s="294" t="s">
        <v>605</v>
      </c>
      <c r="G24" s="295" t="s">
        <v>265</v>
      </c>
      <c r="H24" s="294" t="s">
        <v>604</v>
      </c>
      <c r="I24" s="295" t="s">
        <v>265</v>
      </c>
      <c r="J24" s="295">
        <v>2023</v>
      </c>
      <c r="K24" s="14" t="s">
        <v>265</v>
      </c>
      <c r="L24" s="14" t="s">
        <v>265</v>
      </c>
      <c r="M24" s="14">
        <v>10</v>
      </c>
      <c r="N24" s="14" t="s">
        <v>265</v>
      </c>
      <c r="O24" s="14">
        <f>0.25*2</f>
        <v>0.5</v>
      </c>
      <c r="P24" s="14" t="s">
        <v>265</v>
      </c>
      <c r="Q24" s="14" t="s">
        <v>265</v>
      </c>
      <c r="R24" s="14" t="s">
        <v>265</v>
      </c>
      <c r="S24" s="14" t="s">
        <v>265</v>
      </c>
      <c r="T24" s="14" t="s">
        <v>265</v>
      </c>
    </row>
    <row r="25" spans="1:113" s="13" customFormat="1" ht="63" x14ac:dyDescent="0.25">
      <c r="A25" s="294">
        <v>2</v>
      </c>
      <c r="B25" s="294" t="s">
        <v>610</v>
      </c>
      <c r="C25" s="294" t="s">
        <v>610</v>
      </c>
      <c r="D25" s="294" t="s">
        <v>611</v>
      </c>
      <c r="E25" s="295" t="s">
        <v>265</v>
      </c>
      <c r="F25" s="294" t="s">
        <v>622</v>
      </c>
      <c r="G25" s="295"/>
      <c r="H25" s="294" t="s">
        <v>621</v>
      </c>
      <c r="I25" s="295" t="s">
        <v>265</v>
      </c>
      <c r="J25" s="295">
        <v>2023</v>
      </c>
      <c r="K25" s="14" t="s">
        <v>265</v>
      </c>
      <c r="L25" s="14" t="s">
        <v>265</v>
      </c>
      <c r="M25" s="14">
        <v>10</v>
      </c>
      <c r="N25" s="14" t="s">
        <v>265</v>
      </c>
      <c r="O25" s="14" t="s">
        <v>265</v>
      </c>
      <c r="P25" s="14" t="s">
        <v>265</v>
      </c>
      <c r="Q25" s="14" t="s">
        <v>265</v>
      </c>
      <c r="R25" s="14" t="s">
        <v>265</v>
      </c>
      <c r="S25" s="14" t="s">
        <v>265</v>
      </c>
      <c r="T25" s="14" t="s">
        <v>265</v>
      </c>
    </row>
    <row r="26" spans="1:113" s="12" customFormat="1" x14ac:dyDescent="0.25">
      <c r="B26" s="10" t="s">
        <v>104</v>
      </c>
      <c r="C26" s="10"/>
      <c r="D26" s="10"/>
      <c r="E26" s="10"/>
      <c r="F26" s="10"/>
      <c r="G26" s="10"/>
      <c r="H26" s="152"/>
      <c r="I26" s="10"/>
      <c r="J26" s="10"/>
      <c r="K26" s="10"/>
      <c r="L26" s="10"/>
      <c r="M26" s="10"/>
      <c r="N26" s="10">
        <f>SUM(N24:N24)</f>
        <v>0</v>
      </c>
      <c r="O26" s="10">
        <f>SUM(O24:O24)</f>
        <v>0.5</v>
      </c>
      <c r="P26" s="10">
        <f>O26-N26</f>
        <v>0.5</v>
      </c>
      <c r="Q26" s="10"/>
      <c r="R26" s="10"/>
    </row>
    <row r="27" spans="1:113" x14ac:dyDescent="0.25">
      <c r="B27" s="419" t="s">
        <v>386</v>
      </c>
      <c r="C27" s="419"/>
      <c r="D27" s="419"/>
      <c r="E27" s="419"/>
      <c r="F27" s="419"/>
      <c r="G27" s="419"/>
      <c r="H27" s="419"/>
      <c r="I27" s="419"/>
      <c r="J27" s="419"/>
      <c r="K27" s="419"/>
      <c r="L27" s="419"/>
      <c r="M27" s="419"/>
      <c r="N27" s="419"/>
      <c r="O27" s="419"/>
      <c r="P27" s="419"/>
      <c r="Q27" s="419"/>
      <c r="R27" s="419"/>
    </row>
    <row r="28" spans="1:113" x14ac:dyDescent="0.25">
      <c r="B28" s="10"/>
      <c r="C28" s="10"/>
      <c r="D28" s="10"/>
      <c r="E28" s="10"/>
      <c r="F28" s="10"/>
      <c r="G28" s="10"/>
      <c r="H28" s="152"/>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3"/>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3"/>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3"/>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3"/>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4"/>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B11" zoomScale="70" zoomScaleSheetLayoutView="70" workbookViewId="0">
      <selection activeCell="M31" sqref="M31"/>
    </sheetView>
  </sheetViews>
  <sheetFormatPr defaultColWidth="10.7109375" defaultRowHeight="15.75" x14ac:dyDescent="0.25"/>
  <cols>
    <col min="1" max="1" width="10.7109375" style="6"/>
    <col min="2" max="2" width="29.42578125" style="6" customWidth="1"/>
    <col min="3" max="3" width="35.140625" style="6" customWidth="1"/>
    <col min="4"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397" t="str">
        <f>'3.1. паспорт Техсостояние ПС'!A5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04" t="s">
        <v>7</v>
      </c>
      <c r="F7" s="404"/>
      <c r="G7" s="404"/>
      <c r="H7" s="404"/>
      <c r="I7" s="404"/>
      <c r="J7" s="404"/>
      <c r="K7" s="404"/>
      <c r="L7" s="404"/>
      <c r="M7" s="404"/>
      <c r="N7" s="404"/>
      <c r="O7" s="404"/>
      <c r="P7" s="404"/>
      <c r="Q7" s="404"/>
      <c r="R7" s="404"/>
      <c r="S7" s="404"/>
      <c r="T7" s="404"/>
      <c r="U7" s="404"/>
      <c r="V7" s="404"/>
      <c r="W7" s="404"/>
      <c r="X7" s="404"/>
      <c r="Y7" s="40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09" t="str">
        <f>'3.1. паспорт Техсостояние ПС'!A9</f>
        <v>Акционерное общество "Россети Янтарь" ДЗО  ПАО "Россети"</v>
      </c>
      <c r="F9" s="409"/>
      <c r="G9" s="409"/>
      <c r="H9" s="409"/>
      <c r="I9" s="409"/>
      <c r="J9" s="409"/>
      <c r="K9" s="409"/>
      <c r="L9" s="409"/>
      <c r="M9" s="409"/>
      <c r="N9" s="409"/>
      <c r="O9" s="409"/>
      <c r="P9" s="409"/>
      <c r="Q9" s="409"/>
      <c r="R9" s="409"/>
      <c r="S9" s="409"/>
      <c r="T9" s="409"/>
      <c r="U9" s="409"/>
      <c r="V9" s="409"/>
      <c r="W9" s="409"/>
      <c r="X9" s="409"/>
      <c r="Y9" s="409"/>
    </row>
    <row r="10" spans="1:27" s="2"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09" t="str">
        <f>'1. паспорт местоположение'!A12</f>
        <v>N_21-1806</v>
      </c>
      <c r="F12" s="409"/>
      <c r="G12" s="409"/>
      <c r="H12" s="409"/>
      <c r="I12" s="409"/>
      <c r="J12" s="409"/>
      <c r="K12" s="409"/>
      <c r="L12" s="409"/>
      <c r="M12" s="409"/>
      <c r="N12" s="409"/>
      <c r="O12" s="409"/>
      <c r="P12" s="409"/>
      <c r="Q12" s="409"/>
      <c r="R12" s="409"/>
      <c r="S12" s="409"/>
      <c r="T12" s="409"/>
      <c r="U12" s="409"/>
      <c r="V12" s="409"/>
      <c r="W12" s="409"/>
      <c r="X12" s="409"/>
      <c r="Y12" s="409"/>
    </row>
    <row r="13" spans="1:27" s="2"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06" t="str">
        <f>'3.1. паспорт Техсостояние ПС'!A15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F15" s="406"/>
      <c r="G15" s="406"/>
      <c r="H15" s="406"/>
      <c r="I15" s="406"/>
      <c r="J15" s="406"/>
      <c r="K15" s="406"/>
      <c r="L15" s="406"/>
      <c r="M15" s="406"/>
      <c r="N15" s="406"/>
      <c r="O15" s="406"/>
      <c r="P15" s="406"/>
      <c r="Q15" s="406"/>
      <c r="R15" s="406"/>
      <c r="S15" s="406"/>
      <c r="T15" s="406"/>
      <c r="U15" s="406"/>
      <c r="V15" s="406"/>
      <c r="W15" s="406"/>
      <c r="X15" s="406"/>
      <c r="Y15" s="406"/>
    </row>
    <row r="16" spans="1:27" s="80"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355</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13" customFormat="1" ht="21" customHeight="1" x14ac:dyDescent="0.25"/>
    <row r="21" spans="1:27" ht="15.75" customHeight="1" x14ac:dyDescent="0.25">
      <c r="A21" s="430" t="s">
        <v>3</v>
      </c>
      <c r="B21" s="430" t="s">
        <v>362</v>
      </c>
      <c r="C21" s="430"/>
      <c r="D21" s="430" t="s">
        <v>364</v>
      </c>
      <c r="E21" s="430"/>
      <c r="F21" s="430" t="s">
        <v>88</v>
      </c>
      <c r="G21" s="430"/>
      <c r="H21" s="430"/>
      <c r="I21" s="430"/>
      <c r="J21" s="430" t="s">
        <v>365</v>
      </c>
      <c r="K21" s="430" t="s">
        <v>366</v>
      </c>
      <c r="L21" s="430"/>
      <c r="M21" s="430" t="s">
        <v>367</v>
      </c>
      <c r="N21" s="430"/>
      <c r="O21" s="430" t="s">
        <v>354</v>
      </c>
      <c r="P21" s="430"/>
      <c r="Q21" s="430" t="s">
        <v>121</v>
      </c>
      <c r="R21" s="430"/>
      <c r="S21" s="430" t="s">
        <v>120</v>
      </c>
      <c r="T21" s="430" t="s">
        <v>368</v>
      </c>
      <c r="U21" s="430" t="s">
        <v>363</v>
      </c>
      <c r="V21" s="430" t="s">
        <v>119</v>
      </c>
      <c r="W21" s="430"/>
      <c r="X21" s="430" t="s">
        <v>111</v>
      </c>
      <c r="Y21" s="430"/>
      <c r="Z21" s="430" t="s">
        <v>110</v>
      </c>
      <c r="AA21" s="430"/>
    </row>
    <row r="22" spans="1:27" ht="216" customHeight="1" x14ac:dyDescent="0.25">
      <c r="A22" s="430"/>
      <c r="B22" s="430"/>
      <c r="C22" s="430"/>
      <c r="D22" s="430"/>
      <c r="E22" s="430"/>
      <c r="F22" s="430" t="s">
        <v>118</v>
      </c>
      <c r="G22" s="430"/>
      <c r="H22" s="430" t="s">
        <v>117</v>
      </c>
      <c r="I22" s="430"/>
      <c r="J22" s="430"/>
      <c r="K22" s="430"/>
      <c r="L22" s="430"/>
      <c r="M22" s="430"/>
      <c r="N22" s="430"/>
      <c r="O22" s="430"/>
      <c r="P22" s="430"/>
      <c r="Q22" s="430"/>
      <c r="R22" s="430"/>
      <c r="S22" s="430"/>
      <c r="T22" s="430"/>
      <c r="U22" s="430"/>
      <c r="V22" s="430"/>
      <c r="W22" s="430"/>
      <c r="X22" s="220" t="s">
        <v>109</v>
      </c>
      <c r="Y22" s="220" t="s">
        <v>352</v>
      </c>
      <c r="Z22" s="220" t="s">
        <v>108</v>
      </c>
      <c r="AA22" s="220" t="s">
        <v>107</v>
      </c>
    </row>
    <row r="23" spans="1:27" ht="60" customHeight="1" x14ac:dyDescent="0.25">
      <c r="A23" s="430"/>
      <c r="B23" s="220" t="s">
        <v>105</v>
      </c>
      <c r="C23" s="220" t="s">
        <v>106</v>
      </c>
      <c r="D23" s="220" t="s">
        <v>105</v>
      </c>
      <c r="E23" s="220" t="s">
        <v>106</v>
      </c>
      <c r="F23" s="220" t="s">
        <v>105</v>
      </c>
      <c r="G23" s="220" t="s">
        <v>106</v>
      </c>
      <c r="H23" s="220" t="s">
        <v>105</v>
      </c>
      <c r="I23" s="220" t="s">
        <v>106</v>
      </c>
      <c r="J23" s="220" t="s">
        <v>105</v>
      </c>
      <c r="K23" s="220" t="s">
        <v>105</v>
      </c>
      <c r="L23" s="220" t="s">
        <v>106</v>
      </c>
      <c r="M23" s="220" t="s">
        <v>105</v>
      </c>
      <c r="N23" s="220" t="s">
        <v>106</v>
      </c>
      <c r="O23" s="220" t="s">
        <v>105</v>
      </c>
      <c r="P23" s="220" t="s">
        <v>106</v>
      </c>
      <c r="Q23" s="220" t="s">
        <v>105</v>
      </c>
      <c r="R23" s="220" t="s">
        <v>106</v>
      </c>
      <c r="S23" s="220" t="s">
        <v>105</v>
      </c>
      <c r="T23" s="220" t="s">
        <v>105</v>
      </c>
      <c r="U23" s="220" t="s">
        <v>105</v>
      </c>
      <c r="V23" s="220" t="s">
        <v>105</v>
      </c>
      <c r="W23" s="220" t="s">
        <v>106</v>
      </c>
      <c r="X23" s="220" t="s">
        <v>105</v>
      </c>
      <c r="Y23" s="220" t="s">
        <v>105</v>
      </c>
      <c r="Z23" s="220" t="s">
        <v>105</v>
      </c>
      <c r="AA23" s="220" t="s">
        <v>105</v>
      </c>
    </row>
    <row r="24" spans="1:27" x14ac:dyDescent="0.25">
      <c r="A24" s="221">
        <v>1</v>
      </c>
      <c r="B24" s="221">
        <v>2</v>
      </c>
      <c r="C24" s="221">
        <v>3</v>
      </c>
      <c r="D24" s="221">
        <v>4</v>
      </c>
      <c r="E24" s="221">
        <v>5</v>
      </c>
      <c r="F24" s="221">
        <v>6</v>
      </c>
      <c r="G24" s="221">
        <v>7</v>
      </c>
      <c r="H24" s="221">
        <v>8</v>
      </c>
      <c r="I24" s="221">
        <v>9</v>
      </c>
      <c r="J24" s="221">
        <v>10</v>
      </c>
      <c r="K24" s="221">
        <v>11</v>
      </c>
      <c r="L24" s="221">
        <v>12</v>
      </c>
      <c r="M24" s="221">
        <v>13</v>
      </c>
      <c r="N24" s="221">
        <v>14</v>
      </c>
      <c r="O24" s="221">
        <v>15</v>
      </c>
      <c r="P24" s="221">
        <v>16</v>
      </c>
      <c r="Q24" s="221">
        <v>19</v>
      </c>
      <c r="R24" s="221">
        <v>20</v>
      </c>
      <c r="S24" s="221">
        <v>21</v>
      </c>
      <c r="T24" s="221">
        <v>22</v>
      </c>
      <c r="U24" s="221">
        <v>23</v>
      </c>
      <c r="V24" s="221">
        <v>24</v>
      </c>
      <c r="W24" s="221">
        <v>25</v>
      </c>
      <c r="X24" s="221">
        <v>26</v>
      </c>
      <c r="Y24" s="221">
        <v>27</v>
      </c>
      <c r="Z24" s="221">
        <v>28</v>
      </c>
      <c r="AA24" s="221">
        <v>29</v>
      </c>
    </row>
    <row r="25" spans="1:27" s="155" customFormat="1" ht="47.25" x14ac:dyDescent="0.25">
      <c r="A25" s="380">
        <v>1</v>
      </c>
      <c r="B25" s="219" t="s">
        <v>265</v>
      </c>
      <c r="C25" s="380" t="s">
        <v>606</v>
      </c>
      <c r="D25" s="219" t="s">
        <v>265</v>
      </c>
      <c r="E25" s="218" t="s">
        <v>607</v>
      </c>
      <c r="F25" s="219" t="s">
        <v>265</v>
      </c>
      <c r="G25" s="219">
        <v>10</v>
      </c>
      <c r="H25" s="219" t="s">
        <v>265</v>
      </c>
      <c r="I25" s="219">
        <v>10</v>
      </c>
      <c r="J25" s="219" t="s">
        <v>265</v>
      </c>
      <c r="K25" s="219" t="s">
        <v>265</v>
      </c>
      <c r="L25" s="219">
        <v>1</v>
      </c>
      <c r="M25" s="219" t="s">
        <v>265</v>
      </c>
      <c r="N25" s="219">
        <v>185</v>
      </c>
      <c r="O25" s="219" t="s">
        <v>265</v>
      </c>
      <c r="P25" s="219" t="s">
        <v>589</v>
      </c>
      <c r="Q25" s="219" t="s">
        <v>265</v>
      </c>
      <c r="R25" s="219">
        <v>0.34</v>
      </c>
      <c r="S25" s="218" t="s">
        <v>265</v>
      </c>
      <c r="T25" s="219" t="s">
        <v>265</v>
      </c>
      <c r="U25" s="219" t="s">
        <v>265</v>
      </c>
      <c r="V25" s="219" t="s">
        <v>265</v>
      </c>
      <c r="W25" s="219" t="s">
        <v>579</v>
      </c>
      <c r="X25" s="219" t="s">
        <v>265</v>
      </c>
      <c r="Y25" s="219" t="s">
        <v>265</v>
      </c>
      <c r="Z25" s="219" t="s">
        <v>265</v>
      </c>
      <c r="AA25" s="219" t="s">
        <v>265</v>
      </c>
    </row>
    <row r="26" spans="1:27" s="155" customFormat="1" ht="47.25" x14ac:dyDescent="0.25">
      <c r="A26" s="380">
        <v>2</v>
      </c>
      <c r="B26" s="219" t="s">
        <v>265</v>
      </c>
      <c r="C26" s="380" t="s">
        <v>608</v>
      </c>
      <c r="D26" s="219" t="s">
        <v>265</v>
      </c>
      <c r="E26" s="218" t="s">
        <v>609</v>
      </c>
      <c r="F26" s="219" t="s">
        <v>265</v>
      </c>
      <c r="G26" s="219">
        <v>10</v>
      </c>
      <c r="H26" s="219" t="s">
        <v>265</v>
      </c>
      <c r="I26" s="219">
        <v>10</v>
      </c>
      <c r="J26" s="219" t="s">
        <v>265</v>
      </c>
      <c r="K26" s="219" t="s">
        <v>265</v>
      </c>
      <c r="L26" s="219">
        <v>1</v>
      </c>
      <c r="M26" s="219" t="s">
        <v>265</v>
      </c>
      <c r="N26" s="219">
        <v>185</v>
      </c>
      <c r="O26" s="219" t="s">
        <v>265</v>
      </c>
      <c r="P26" s="219" t="s">
        <v>589</v>
      </c>
      <c r="Q26" s="219" t="s">
        <v>265</v>
      </c>
      <c r="R26" s="219">
        <v>0.31</v>
      </c>
      <c r="S26" s="218" t="s">
        <v>265</v>
      </c>
      <c r="T26" s="219" t="s">
        <v>265</v>
      </c>
      <c r="U26" s="219" t="s">
        <v>265</v>
      </c>
      <c r="V26" s="219" t="s">
        <v>265</v>
      </c>
      <c r="W26" s="219" t="s">
        <v>579</v>
      </c>
      <c r="X26" s="219" t="s">
        <v>265</v>
      </c>
      <c r="Y26" s="219" t="s">
        <v>265</v>
      </c>
      <c r="Z26" s="219" t="s">
        <v>265</v>
      </c>
      <c r="AA26" s="219" t="s">
        <v>265</v>
      </c>
    </row>
    <row r="27" spans="1:27" s="155" customFormat="1" x14ac:dyDescent="0.25">
      <c r="A27" s="380">
        <v>3</v>
      </c>
      <c r="B27" s="219" t="s">
        <v>265</v>
      </c>
      <c r="C27" s="380" t="s">
        <v>624</v>
      </c>
      <c r="D27" s="219" t="s">
        <v>265</v>
      </c>
      <c r="E27" s="218" t="s">
        <v>612</v>
      </c>
      <c r="F27" s="219" t="s">
        <v>265</v>
      </c>
      <c r="G27" s="219">
        <v>0.4</v>
      </c>
      <c r="H27" s="219" t="s">
        <v>265</v>
      </c>
      <c r="I27" s="219">
        <v>0.4</v>
      </c>
      <c r="J27" s="219" t="s">
        <v>265</v>
      </c>
      <c r="K27" s="219" t="s">
        <v>265</v>
      </c>
      <c r="L27" s="219">
        <v>2</v>
      </c>
      <c r="M27" s="219" t="s">
        <v>265</v>
      </c>
      <c r="N27" s="219">
        <v>120</v>
      </c>
      <c r="O27" s="219" t="s">
        <v>265</v>
      </c>
      <c r="P27" s="219" t="s">
        <v>529</v>
      </c>
      <c r="Q27" s="219" t="s">
        <v>265</v>
      </c>
      <c r="R27" s="219">
        <v>0.2</v>
      </c>
      <c r="S27" s="218" t="s">
        <v>265</v>
      </c>
      <c r="T27" s="219" t="s">
        <v>265</v>
      </c>
      <c r="U27" s="219" t="s">
        <v>265</v>
      </c>
      <c r="V27" s="219" t="s">
        <v>265</v>
      </c>
      <c r="W27" s="219" t="s">
        <v>579</v>
      </c>
      <c r="X27" s="219" t="s">
        <v>265</v>
      </c>
      <c r="Y27" s="219" t="s">
        <v>265</v>
      </c>
      <c r="Z27" s="219" t="s">
        <v>265</v>
      </c>
      <c r="AA27" s="219" t="s">
        <v>265</v>
      </c>
    </row>
    <row r="28" spans="1:27" s="155" customFormat="1" x14ac:dyDescent="0.25">
      <c r="A28" s="380">
        <v>3</v>
      </c>
      <c r="B28" s="219" t="s">
        <v>265</v>
      </c>
      <c r="C28" s="380" t="s">
        <v>625</v>
      </c>
      <c r="D28" s="219" t="s">
        <v>265</v>
      </c>
      <c r="E28" s="218" t="s">
        <v>612</v>
      </c>
      <c r="F28" s="219" t="s">
        <v>265</v>
      </c>
      <c r="G28" s="219">
        <v>0.4</v>
      </c>
      <c r="H28" s="219" t="s">
        <v>265</v>
      </c>
      <c r="I28" s="219">
        <v>0.4</v>
      </c>
      <c r="J28" s="219" t="s">
        <v>265</v>
      </c>
      <c r="K28" s="219" t="s">
        <v>265</v>
      </c>
      <c r="L28" s="219">
        <v>2</v>
      </c>
      <c r="M28" s="219" t="s">
        <v>265</v>
      </c>
      <c r="N28" s="219">
        <v>70</v>
      </c>
      <c r="O28" s="219" t="s">
        <v>265</v>
      </c>
      <c r="P28" s="219" t="s">
        <v>529</v>
      </c>
      <c r="Q28" s="219" t="s">
        <v>265</v>
      </c>
      <c r="R28" s="219">
        <v>0.1</v>
      </c>
      <c r="S28" s="218" t="s">
        <v>265</v>
      </c>
      <c r="T28" s="219" t="s">
        <v>265</v>
      </c>
      <c r="U28" s="219" t="s">
        <v>265</v>
      </c>
      <c r="V28" s="219" t="s">
        <v>265</v>
      </c>
      <c r="W28" s="219" t="s">
        <v>579</v>
      </c>
      <c r="X28" s="219" t="s">
        <v>265</v>
      </c>
      <c r="Y28" s="219" t="s">
        <v>265</v>
      </c>
      <c r="Z28" s="219" t="s">
        <v>265</v>
      </c>
      <c r="AA28" s="219" t="s">
        <v>265</v>
      </c>
    </row>
    <row r="29" spans="1:27" x14ac:dyDescent="0.25">
      <c r="Q29" s="6">
        <f>SUM(Q25:Q28)</f>
        <v>0</v>
      </c>
      <c r="R29" s="6">
        <f>SUM(R25:R28)</f>
        <v>0.95000000000000007</v>
      </c>
      <c r="S29" s="6">
        <f>R29-Q29</f>
        <v>0.95000000000000007</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397" t="str">
        <f>'3.2 паспорт Техсостояние ЛЭП'!A5</f>
        <v>Год раскрытия информации: 2025 год</v>
      </c>
      <c r="B5" s="397"/>
      <c r="C5" s="39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04" t="s">
        <v>7</v>
      </c>
      <c r="B7" s="404"/>
      <c r="C7" s="404"/>
      <c r="D7" s="74"/>
      <c r="E7" s="74"/>
      <c r="F7" s="74"/>
      <c r="G7" s="74"/>
      <c r="H7" s="74"/>
      <c r="I7" s="74"/>
      <c r="J7" s="74"/>
      <c r="K7" s="74"/>
      <c r="L7" s="74"/>
      <c r="M7" s="74"/>
      <c r="N7" s="74"/>
      <c r="O7" s="74"/>
      <c r="P7" s="74"/>
      <c r="Q7" s="74"/>
      <c r="R7" s="74"/>
      <c r="S7" s="74"/>
      <c r="T7" s="74"/>
      <c r="U7" s="74"/>
    </row>
    <row r="8" spans="1:29" s="2" customFormat="1" ht="18.75" x14ac:dyDescent="0.2">
      <c r="A8" s="404"/>
      <c r="B8" s="404"/>
      <c r="C8" s="404"/>
      <c r="D8" s="75"/>
      <c r="E8" s="75"/>
      <c r="F8" s="75"/>
      <c r="G8" s="75"/>
      <c r="H8" s="74"/>
      <c r="I8" s="74"/>
      <c r="J8" s="74"/>
      <c r="K8" s="74"/>
      <c r="L8" s="74"/>
      <c r="M8" s="74"/>
      <c r="N8" s="74"/>
      <c r="O8" s="74"/>
      <c r="P8" s="74"/>
      <c r="Q8" s="74"/>
      <c r="R8" s="74"/>
      <c r="S8" s="74"/>
      <c r="T8" s="74"/>
      <c r="U8" s="74"/>
    </row>
    <row r="9" spans="1:29" s="2" customFormat="1" ht="18.75" x14ac:dyDescent="0.2">
      <c r="A9" s="409" t="str">
        <f>'3.2 паспорт Техсостояние ЛЭП'!E9</f>
        <v>Акционерное общество "Россети Янтарь" ДЗО  ПАО "Россети"</v>
      </c>
      <c r="B9" s="409"/>
      <c r="C9" s="409"/>
      <c r="D9" s="76"/>
      <c r="E9" s="76"/>
      <c r="F9" s="76"/>
      <c r="G9" s="76"/>
      <c r="H9" s="74"/>
      <c r="I9" s="74"/>
      <c r="J9" s="74"/>
      <c r="K9" s="74"/>
      <c r="L9" s="74"/>
      <c r="M9" s="74"/>
      <c r="N9" s="74"/>
      <c r="O9" s="74"/>
      <c r="P9" s="74"/>
      <c r="Q9" s="74"/>
      <c r="R9" s="74"/>
      <c r="S9" s="74"/>
      <c r="T9" s="74"/>
      <c r="U9" s="74"/>
    </row>
    <row r="10" spans="1:29" s="2" customFormat="1" ht="18.75" x14ac:dyDescent="0.2">
      <c r="A10" s="401" t="s">
        <v>6</v>
      </c>
      <c r="B10" s="401"/>
      <c r="C10" s="401"/>
      <c r="D10" s="77"/>
      <c r="E10" s="77"/>
      <c r="F10" s="77"/>
      <c r="G10" s="77"/>
      <c r="H10" s="74"/>
      <c r="I10" s="74"/>
      <c r="J10" s="74"/>
      <c r="K10" s="74"/>
      <c r="L10" s="74"/>
      <c r="M10" s="74"/>
      <c r="N10" s="74"/>
      <c r="O10" s="74"/>
      <c r="P10" s="74"/>
      <c r="Q10" s="74"/>
      <c r="R10" s="74"/>
      <c r="S10" s="74"/>
      <c r="T10" s="74"/>
      <c r="U10" s="74"/>
    </row>
    <row r="11" spans="1:29" s="2" customFormat="1" ht="18.75" x14ac:dyDescent="0.2">
      <c r="A11" s="404"/>
      <c r="B11" s="404"/>
      <c r="C11" s="404"/>
      <c r="D11" s="75"/>
      <c r="E11" s="75"/>
      <c r="F11" s="75"/>
      <c r="G11" s="75"/>
      <c r="H11" s="74"/>
      <c r="I11" s="74"/>
      <c r="J11" s="74"/>
      <c r="K11" s="74"/>
      <c r="L11" s="74"/>
      <c r="M11" s="74"/>
      <c r="N11" s="74"/>
      <c r="O11" s="74"/>
      <c r="P11" s="74"/>
      <c r="Q11" s="74"/>
      <c r="R11" s="74"/>
      <c r="S11" s="74"/>
      <c r="T11" s="74"/>
      <c r="U11" s="74"/>
    </row>
    <row r="12" spans="1:29" s="2" customFormat="1" ht="18.75" x14ac:dyDescent="0.2">
      <c r="A12" s="409" t="str">
        <f>'3.2 паспорт Техсостояние ЛЭП'!E12</f>
        <v>N_21-1806</v>
      </c>
      <c r="B12" s="409"/>
      <c r="C12" s="409"/>
      <c r="D12" s="76"/>
      <c r="E12" s="76"/>
      <c r="F12" s="76"/>
      <c r="G12" s="76"/>
      <c r="H12" s="74"/>
      <c r="I12" s="74"/>
      <c r="J12" s="74"/>
      <c r="K12" s="74"/>
      <c r="L12" s="74"/>
      <c r="M12" s="74"/>
      <c r="N12" s="74"/>
      <c r="O12" s="74"/>
      <c r="P12" s="74"/>
      <c r="Q12" s="74"/>
      <c r="R12" s="74"/>
      <c r="S12" s="74"/>
      <c r="T12" s="74"/>
      <c r="U12" s="74"/>
    </row>
    <row r="13" spans="1:29" s="2" customFormat="1" ht="18.75" x14ac:dyDescent="0.2">
      <c r="A13" s="401" t="s">
        <v>5</v>
      </c>
      <c r="B13" s="401"/>
      <c r="C13" s="40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0"/>
      <c r="B14" s="410"/>
      <c r="C14" s="41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06" t="str">
        <f>'3.2 паспорт Техсостояние ЛЭП'!E15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6"/>
      <c r="C15" s="40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01" t="s">
        <v>4</v>
      </c>
      <c r="B16" s="401"/>
      <c r="C16" s="40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07"/>
      <c r="B17" s="407"/>
      <c r="C17" s="407"/>
      <c r="D17" s="81"/>
      <c r="E17" s="81"/>
      <c r="F17" s="81"/>
      <c r="G17" s="81"/>
      <c r="H17" s="81"/>
      <c r="I17" s="81"/>
      <c r="J17" s="81"/>
      <c r="K17" s="81"/>
      <c r="L17" s="81"/>
      <c r="M17" s="81"/>
      <c r="N17" s="81"/>
      <c r="O17" s="81"/>
      <c r="P17" s="81"/>
      <c r="Q17" s="81"/>
      <c r="R17" s="81"/>
    </row>
    <row r="18" spans="1:21" s="80" customFormat="1" ht="27.75" customHeight="1" x14ac:dyDescent="0.2">
      <c r="A18" s="402" t="s">
        <v>347</v>
      </c>
      <c r="B18" s="402"/>
      <c r="C18" s="40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81" t="s">
        <v>631</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0,199 МВт</v>
      </c>
      <c r="D23" s="98"/>
      <c r="E23" s="98"/>
      <c r="F23" s="98"/>
      <c r="G23" s="98"/>
      <c r="H23" s="98"/>
      <c r="I23" s="98"/>
      <c r="J23" s="98"/>
      <c r="K23" s="98"/>
      <c r="L23" s="98"/>
      <c r="M23" s="98"/>
      <c r="N23" s="98"/>
      <c r="O23" s="98"/>
      <c r="P23" s="98"/>
      <c r="Q23" s="98"/>
      <c r="R23" s="98"/>
      <c r="S23" s="98"/>
      <c r="T23" s="98"/>
      <c r="U23" s="98"/>
    </row>
    <row r="24" spans="1:21" ht="94.5" x14ac:dyDescent="0.25">
      <c r="A24" s="89" t="s">
        <v>60</v>
      </c>
      <c r="B24" s="103" t="s">
        <v>530</v>
      </c>
      <c r="C24" s="97" t="s">
        <v>626</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627</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399</v>
      </c>
      <c r="D26" s="98"/>
      <c r="E26" s="98"/>
      <c r="F26" s="98"/>
      <c r="G26" s="98"/>
      <c r="H26" s="98"/>
      <c r="I26" s="98"/>
      <c r="J26" s="98"/>
      <c r="K26" s="98"/>
      <c r="L26" s="98"/>
      <c r="M26" s="98"/>
      <c r="N26" s="98"/>
      <c r="O26" s="98"/>
      <c r="P26" s="98"/>
      <c r="Q26" s="98"/>
      <c r="R26" s="98"/>
      <c r="S26" s="98"/>
      <c r="T26" s="98"/>
      <c r="U26" s="98"/>
    </row>
    <row r="27" spans="1:21" ht="126" x14ac:dyDescent="0.25">
      <c r="A27" s="89" t="s">
        <v>56</v>
      </c>
      <c r="B27" s="103" t="s">
        <v>361</v>
      </c>
      <c r="C27" s="97" t="s">
        <v>636</v>
      </c>
      <c r="D27" s="98"/>
      <c r="E27" s="29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623</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397" t="str">
        <f>'3.3 паспорт описание'!A5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74"/>
      <c r="AB6" s="74"/>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74"/>
      <c r="AB7" s="74"/>
    </row>
    <row r="8" spans="1:28" ht="15.75" x14ac:dyDescent="0.25">
      <c r="A8" s="409" t="str">
        <f>'3.3 паспорт описание'!A9:C9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76"/>
      <c r="AB8" s="76"/>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77"/>
      <c r="AB9" s="77"/>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74"/>
      <c r="AB10" s="74"/>
    </row>
    <row r="11" spans="1:28" ht="15.75" x14ac:dyDescent="0.25">
      <c r="A11" s="409" t="str">
        <f>'3.3 паспорт описание'!A12:C12</f>
        <v>N_21-1806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76"/>
      <c r="AB11" s="76"/>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77"/>
      <c r="AB12" s="77"/>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105"/>
      <c r="AB13" s="105"/>
    </row>
    <row r="14" spans="1:28" ht="24.75" customHeight="1" x14ac:dyDescent="0.25">
      <c r="A14" s="406" t="str">
        <f>'3.3 паспорт описание'!A15:C15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76"/>
      <c r="AB14" s="76"/>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77"/>
      <c r="AB15" s="77"/>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06"/>
      <c r="AB16" s="106"/>
    </row>
    <row r="17" spans="1:2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06"/>
      <c r="AB17" s="106"/>
    </row>
    <row r="18" spans="1:28"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06"/>
      <c r="AB18" s="106"/>
    </row>
    <row r="19" spans="1:2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06"/>
      <c r="AB19" s="106"/>
    </row>
    <row r="20" spans="1:28"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07"/>
      <c r="AB20" s="107"/>
    </row>
    <row r="21" spans="1:28" x14ac:dyDescent="0.25">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07"/>
      <c r="AB21" s="107"/>
    </row>
    <row r="22" spans="1:28" x14ac:dyDescent="0.25">
      <c r="A22" s="433" t="s">
        <v>378</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08"/>
      <c r="AB22" s="108"/>
    </row>
    <row r="23" spans="1:28" ht="32.25" customHeight="1" x14ac:dyDescent="0.25">
      <c r="A23" s="435" t="s">
        <v>263</v>
      </c>
      <c r="B23" s="436"/>
      <c r="C23" s="436"/>
      <c r="D23" s="436"/>
      <c r="E23" s="436"/>
      <c r="F23" s="436"/>
      <c r="G23" s="436"/>
      <c r="H23" s="436"/>
      <c r="I23" s="436"/>
      <c r="J23" s="436"/>
      <c r="K23" s="436"/>
      <c r="L23" s="437"/>
      <c r="M23" s="434" t="s">
        <v>264</v>
      </c>
      <c r="N23" s="434"/>
      <c r="O23" s="434"/>
      <c r="P23" s="434"/>
      <c r="Q23" s="434"/>
      <c r="R23" s="434"/>
      <c r="S23" s="434"/>
      <c r="T23" s="434"/>
      <c r="U23" s="434"/>
      <c r="V23" s="434"/>
      <c r="W23" s="434"/>
      <c r="X23" s="434"/>
      <c r="Y23" s="434"/>
      <c r="Z23" s="434"/>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0" t="s">
        <v>259</v>
      </c>
      <c r="B26" s="181"/>
      <c r="C26" s="182" t="s">
        <v>469</v>
      </c>
      <c r="D26" s="182" t="s">
        <v>470</v>
      </c>
      <c r="E26" s="182" t="s">
        <v>471</v>
      </c>
      <c r="F26" s="182" t="s">
        <v>472</v>
      </c>
      <c r="G26" s="182" t="s">
        <v>473</v>
      </c>
      <c r="H26" s="182" t="s">
        <v>206</v>
      </c>
      <c r="I26" s="182" t="s">
        <v>474</v>
      </c>
      <c r="J26" s="182" t="s">
        <v>475</v>
      </c>
      <c r="K26" s="183"/>
      <c r="L26" s="184" t="s">
        <v>476</v>
      </c>
      <c r="M26" s="185" t="s">
        <v>477</v>
      </c>
      <c r="N26" s="183"/>
      <c r="O26" s="183"/>
      <c r="P26" s="183"/>
      <c r="Q26" s="183"/>
      <c r="R26" s="183"/>
      <c r="S26" s="183"/>
      <c r="T26" s="183"/>
      <c r="U26" s="183"/>
      <c r="V26" s="183"/>
      <c r="W26" s="183"/>
      <c r="X26" s="183"/>
      <c r="Y26" s="183"/>
      <c r="Z26" s="186" t="s">
        <v>215</v>
      </c>
    </row>
    <row r="27" spans="1:28" customFormat="1" x14ac:dyDescent="0.25">
      <c r="A27" s="183" t="s">
        <v>478</v>
      </c>
      <c r="B27" s="183" t="s">
        <v>479</v>
      </c>
      <c r="C27" s="183" t="s">
        <v>480</v>
      </c>
      <c r="D27" s="183" t="s">
        <v>481</v>
      </c>
      <c r="E27" s="183" t="s">
        <v>482</v>
      </c>
      <c r="F27" s="182" t="s">
        <v>483</v>
      </c>
      <c r="G27" s="182" t="s">
        <v>484</v>
      </c>
      <c r="H27" s="183" t="s">
        <v>206</v>
      </c>
      <c r="I27" s="182" t="s">
        <v>485</v>
      </c>
      <c r="J27" s="182" t="s">
        <v>486</v>
      </c>
      <c r="K27" s="184" t="s">
        <v>487</v>
      </c>
      <c r="L27" s="183"/>
      <c r="M27" s="184" t="s">
        <v>488</v>
      </c>
      <c r="N27" s="183"/>
      <c r="O27" s="183"/>
      <c r="P27" s="183"/>
      <c r="Q27" s="183"/>
      <c r="R27" s="183"/>
      <c r="S27" s="183"/>
      <c r="T27" s="183"/>
      <c r="U27" s="183"/>
      <c r="V27" s="183"/>
      <c r="W27" s="183"/>
      <c r="X27" s="183"/>
      <c r="Y27" s="183"/>
      <c r="Z27" s="183"/>
    </row>
    <row r="28" spans="1:28" customFormat="1" x14ac:dyDescent="0.25">
      <c r="A28" s="183" t="s">
        <v>478</v>
      </c>
      <c r="B28" s="183" t="s">
        <v>489</v>
      </c>
      <c r="C28" s="183" t="s">
        <v>490</v>
      </c>
      <c r="D28" s="183" t="s">
        <v>491</v>
      </c>
      <c r="E28" s="183" t="s">
        <v>492</v>
      </c>
      <c r="F28" s="182" t="s">
        <v>493</v>
      </c>
      <c r="G28" s="182" t="s">
        <v>494</v>
      </c>
      <c r="H28" s="183" t="s">
        <v>206</v>
      </c>
      <c r="I28" s="182" t="s">
        <v>495</v>
      </c>
      <c r="J28" s="182" t="s">
        <v>496</v>
      </c>
      <c r="K28" s="184" t="s">
        <v>497</v>
      </c>
      <c r="L28" s="187"/>
      <c r="M28" s="184" t="s">
        <v>0</v>
      </c>
      <c r="N28" s="184"/>
      <c r="O28" s="184"/>
      <c r="P28" s="184"/>
      <c r="Q28" s="184"/>
      <c r="R28" s="184"/>
      <c r="S28" s="184"/>
      <c r="T28" s="184"/>
      <c r="U28" s="184"/>
      <c r="V28" s="184"/>
      <c r="W28" s="184"/>
      <c r="X28" s="184"/>
      <c r="Y28" s="184"/>
      <c r="Z28" s="184"/>
    </row>
    <row r="29" spans="1:28" customFormat="1" x14ac:dyDescent="0.25">
      <c r="A29" s="183" t="s">
        <v>478</v>
      </c>
      <c r="B29" s="183" t="s">
        <v>498</v>
      </c>
      <c r="C29" s="183" t="s">
        <v>499</v>
      </c>
      <c r="D29" s="183" t="s">
        <v>500</v>
      </c>
      <c r="E29" s="183" t="s">
        <v>501</v>
      </c>
      <c r="F29" s="182" t="s">
        <v>502</v>
      </c>
      <c r="G29" s="182" t="s">
        <v>503</v>
      </c>
      <c r="H29" s="183" t="s">
        <v>206</v>
      </c>
      <c r="I29" s="182" t="s">
        <v>504</v>
      </c>
      <c r="J29" s="182" t="s">
        <v>505</v>
      </c>
      <c r="K29" s="184" t="s">
        <v>506</v>
      </c>
      <c r="L29" s="187"/>
      <c r="M29" s="183"/>
      <c r="N29" s="183"/>
      <c r="O29" s="183"/>
      <c r="P29" s="183"/>
      <c r="Q29" s="183"/>
      <c r="R29" s="183"/>
      <c r="S29" s="183"/>
      <c r="T29" s="183"/>
      <c r="U29" s="183"/>
      <c r="V29" s="183"/>
      <c r="W29" s="183"/>
      <c r="X29" s="183"/>
      <c r="Y29" s="183"/>
      <c r="Z29" s="183"/>
    </row>
    <row r="30" spans="1:28" customFormat="1" x14ac:dyDescent="0.25">
      <c r="A30" s="183" t="s">
        <v>478</v>
      </c>
      <c r="B30" s="183" t="s">
        <v>507</v>
      </c>
      <c r="C30" s="183" t="s">
        <v>508</v>
      </c>
      <c r="D30" s="183" t="s">
        <v>509</v>
      </c>
      <c r="E30" s="183" t="s">
        <v>510</v>
      </c>
      <c r="F30" s="182" t="s">
        <v>511</v>
      </c>
      <c r="G30" s="182" t="s">
        <v>512</v>
      </c>
      <c r="H30" s="183" t="s">
        <v>206</v>
      </c>
      <c r="I30" s="182" t="s">
        <v>513</v>
      </c>
      <c r="J30" s="182" t="s">
        <v>514</v>
      </c>
      <c r="K30" s="184" t="s">
        <v>515</v>
      </c>
      <c r="L30" s="187"/>
      <c r="M30" s="183"/>
      <c r="N30" s="183"/>
      <c r="O30" s="183"/>
      <c r="P30" s="183"/>
      <c r="Q30" s="183"/>
      <c r="R30" s="183"/>
      <c r="S30" s="183"/>
      <c r="T30" s="183"/>
      <c r="U30" s="183"/>
      <c r="V30" s="183"/>
      <c r="W30" s="183"/>
      <c r="X30" s="183"/>
      <c r="Y30" s="183"/>
      <c r="Z30" s="183"/>
    </row>
    <row r="31" spans="1:28" customFormat="1" x14ac:dyDescent="0.25">
      <c r="A31" s="183" t="s">
        <v>0</v>
      </c>
      <c r="B31" s="183" t="s">
        <v>0</v>
      </c>
      <c r="C31" s="183" t="s">
        <v>0</v>
      </c>
      <c r="D31" s="183" t="s">
        <v>0</v>
      </c>
      <c r="E31" s="183" t="s">
        <v>0</v>
      </c>
      <c r="F31" s="183" t="s">
        <v>0</v>
      </c>
      <c r="G31" s="183" t="s">
        <v>0</v>
      </c>
      <c r="H31" s="183" t="s">
        <v>0</v>
      </c>
      <c r="I31" s="183" t="s">
        <v>0</v>
      </c>
      <c r="J31" s="183" t="s">
        <v>0</v>
      </c>
      <c r="K31" s="183" t="s">
        <v>0</v>
      </c>
      <c r="L31" s="187"/>
      <c r="M31" s="183"/>
      <c r="N31" s="183"/>
      <c r="O31" s="183"/>
      <c r="P31" s="183"/>
      <c r="Q31" s="183"/>
      <c r="R31" s="183"/>
      <c r="S31" s="183"/>
      <c r="T31" s="183"/>
      <c r="U31" s="183"/>
      <c r="V31" s="183"/>
      <c r="W31" s="183"/>
      <c r="X31" s="183"/>
      <c r="Y31" s="183"/>
      <c r="Z31" s="183"/>
    </row>
    <row r="32" spans="1:28" customFormat="1" ht="30" x14ac:dyDescent="0.25">
      <c r="A32" s="181" t="s">
        <v>260</v>
      </c>
      <c r="B32" s="181"/>
      <c r="C32" s="182" t="s">
        <v>516</v>
      </c>
      <c r="D32" s="182" t="s">
        <v>517</v>
      </c>
      <c r="E32" s="182" t="s">
        <v>518</v>
      </c>
      <c r="F32" s="182" t="s">
        <v>519</v>
      </c>
      <c r="G32" s="182" t="s">
        <v>520</v>
      </c>
      <c r="H32" s="182" t="s">
        <v>206</v>
      </c>
      <c r="I32" s="182" t="s">
        <v>521</v>
      </c>
      <c r="J32" s="182" t="s">
        <v>522</v>
      </c>
      <c r="K32" s="183"/>
      <c r="L32" s="183"/>
      <c r="M32" s="183"/>
      <c r="N32" s="183"/>
      <c r="O32" s="183"/>
      <c r="P32" s="183"/>
      <c r="Q32" s="183"/>
      <c r="R32" s="183"/>
      <c r="S32" s="183"/>
      <c r="T32" s="183"/>
      <c r="U32" s="183"/>
      <c r="V32" s="183"/>
      <c r="W32" s="183"/>
      <c r="X32" s="183"/>
      <c r="Y32" s="183"/>
      <c r="Z32" s="183"/>
    </row>
    <row r="33" spans="1:26" customFormat="1" x14ac:dyDescent="0.25">
      <c r="A33" s="183" t="s">
        <v>0</v>
      </c>
      <c r="B33" s="183" t="s">
        <v>0</v>
      </c>
      <c r="C33" s="183" t="s">
        <v>0</v>
      </c>
      <c r="D33" s="183" t="s">
        <v>0</v>
      </c>
      <c r="E33" s="183" t="s">
        <v>0</v>
      </c>
      <c r="F33" s="183" t="s">
        <v>0</v>
      </c>
      <c r="G33" s="183" t="s">
        <v>0</v>
      </c>
      <c r="H33" s="183" t="s">
        <v>0</v>
      </c>
      <c r="I33" s="183" t="s">
        <v>0</v>
      </c>
      <c r="J33" s="183" t="s">
        <v>0</v>
      </c>
      <c r="K33" s="183" t="s">
        <v>0</v>
      </c>
      <c r="L33" s="183"/>
      <c r="M33" s="183"/>
      <c r="N33" s="183"/>
      <c r="O33" s="183"/>
      <c r="P33" s="183"/>
      <c r="Q33" s="183"/>
      <c r="R33" s="183"/>
      <c r="S33" s="183"/>
      <c r="T33" s="183"/>
      <c r="U33" s="183"/>
      <c r="V33" s="183"/>
      <c r="W33" s="183"/>
      <c r="X33" s="183"/>
      <c r="Y33" s="183"/>
      <c r="Z33" s="18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5" width="19.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40" t="str">
        <f>'3.4. Паспорт надежность'!A4</f>
        <v>Год раскрытия информации: 2025 год</v>
      </c>
      <c r="B5" s="440"/>
      <c r="C5" s="440"/>
      <c r="D5" s="440"/>
      <c r="E5" s="440"/>
      <c r="F5" s="440"/>
      <c r="G5" s="440"/>
      <c r="H5" s="440"/>
      <c r="I5" s="440"/>
      <c r="J5" s="440"/>
      <c r="K5" s="440"/>
      <c r="L5" s="440"/>
      <c r="M5" s="440"/>
      <c r="N5" s="440"/>
      <c r="O5" s="440"/>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04" t="s">
        <v>7</v>
      </c>
      <c r="B7" s="404"/>
      <c r="C7" s="404"/>
      <c r="D7" s="404"/>
      <c r="E7" s="404"/>
      <c r="F7" s="404"/>
      <c r="G7" s="404"/>
      <c r="H7" s="404"/>
      <c r="I7" s="404"/>
      <c r="J7" s="404"/>
      <c r="K7" s="404"/>
      <c r="L7" s="404"/>
      <c r="M7" s="404"/>
      <c r="N7" s="404"/>
      <c r="O7" s="404"/>
      <c r="P7" s="74"/>
      <c r="Q7" s="74"/>
      <c r="R7" s="74"/>
      <c r="S7" s="74"/>
      <c r="T7" s="74"/>
      <c r="U7" s="74"/>
      <c r="V7" s="74"/>
      <c r="W7" s="74"/>
      <c r="X7" s="74"/>
      <c r="Y7" s="74"/>
      <c r="Z7" s="74"/>
    </row>
    <row r="8" spans="1:28" s="2" customFormat="1" ht="18.75" x14ac:dyDescent="0.2">
      <c r="A8" s="404"/>
      <c r="B8" s="404"/>
      <c r="C8" s="404"/>
      <c r="D8" s="404"/>
      <c r="E8" s="404"/>
      <c r="F8" s="404"/>
      <c r="G8" s="404"/>
      <c r="H8" s="404"/>
      <c r="I8" s="404"/>
      <c r="J8" s="404"/>
      <c r="K8" s="404"/>
      <c r="L8" s="404"/>
      <c r="M8" s="404"/>
      <c r="N8" s="404"/>
      <c r="O8" s="404"/>
      <c r="P8" s="74"/>
      <c r="Q8" s="74"/>
      <c r="R8" s="74"/>
      <c r="S8" s="74"/>
      <c r="T8" s="74"/>
      <c r="U8" s="74"/>
      <c r="V8" s="74"/>
      <c r="W8" s="74"/>
      <c r="X8" s="74"/>
      <c r="Y8" s="74"/>
      <c r="Z8" s="74"/>
    </row>
    <row r="9" spans="1:28" s="2" customFormat="1" ht="18.75" x14ac:dyDescent="0.2">
      <c r="A9" s="406" t="str">
        <f>'3.4. Паспорт надежность'!A8</f>
        <v>Акционерное общество "Россети Янтарь" ДЗО  ПАО "Россети"</v>
      </c>
      <c r="B9" s="406"/>
      <c r="C9" s="406"/>
      <c r="D9" s="406"/>
      <c r="E9" s="406"/>
      <c r="F9" s="406"/>
      <c r="G9" s="406"/>
      <c r="H9" s="406"/>
      <c r="I9" s="406"/>
      <c r="J9" s="406"/>
      <c r="K9" s="406"/>
      <c r="L9" s="406"/>
      <c r="M9" s="406"/>
      <c r="N9" s="406"/>
      <c r="O9" s="406"/>
      <c r="P9" s="74"/>
      <c r="Q9" s="74"/>
      <c r="R9" s="74"/>
      <c r="S9" s="74"/>
      <c r="T9" s="74"/>
      <c r="U9" s="74"/>
      <c r="V9" s="74"/>
      <c r="W9" s="74"/>
      <c r="X9" s="74"/>
      <c r="Y9" s="74"/>
      <c r="Z9" s="74"/>
    </row>
    <row r="10" spans="1:28" s="2" customFormat="1" ht="18.75" x14ac:dyDescent="0.2">
      <c r="A10" s="401" t="s">
        <v>6</v>
      </c>
      <c r="B10" s="401"/>
      <c r="C10" s="401"/>
      <c r="D10" s="401"/>
      <c r="E10" s="401"/>
      <c r="F10" s="401"/>
      <c r="G10" s="401"/>
      <c r="H10" s="401"/>
      <c r="I10" s="401"/>
      <c r="J10" s="401"/>
      <c r="K10" s="401"/>
      <c r="L10" s="401"/>
      <c r="M10" s="401"/>
      <c r="N10" s="401"/>
      <c r="O10" s="401"/>
      <c r="P10" s="74"/>
      <c r="Q10" s="74"/>
      <c r="R10" s="74"/>
      <c r="S10" s="74"/>
      <c r="T10" s="74"/>
      <c r="U10" s="74"/>
      <c r="V10" s="74"/>
      <c r="W10" s="74"/>
      <c r="X10" s="74"/>
      <c r="Y10" s="74"/>
      <c r="Z10" s="74"/>
    </row>
    <row r="11" spans="1:28" s="2" customFormat="1" ht="18.75" x14ac:dyDescent="0.2">
      <c r="A11" s="404"/>
      <c r="B11" s="404"/>
      <c r="C11" s="404"/>
      <c r="D11" s="404"/>
      <c r="E11" s="404"/>
      <c r="F11" s="404"/>
      <c r="G11" s="404"/>
      <c r="H11" s="404"/>
      <c r="I11" s="404"/>
      <c r="J11" s="404"/>
      <c r="K11" s="404"/>
      <c r="L11" s="404"/>
      <c r="M11" s="404"/>
      <c r="N11" s="404"/>
      <c r="O11" s="404"/>
      <c r="P11" s="74"/>
      <c r="Q11" s="74"/>
      <c r="R11" s="74"/>
      <c r="S11" s="74"/>
      <c r="T11" s="74"/>
      <c r="U11" s="74"/>
      <c r="V11" s="74"/>
      <c r="W11" s="74"/>
      <c r="X11" s="74"/>
      <c r="Y11" s="74"/>
      <c r="Z11" s="74"/>
    </row>
    <row r="12" spans="1:28" s="2" customFormat="1" ht="18.75" x14ac:dyDescent="0.2">
      <c r="A12" s="406" t="str">
        <f>'3.4. Паспорт надежность'!A11</f>
        <v>N_21-1806</v>
      </c>
      <c r="B12" s="406"/>
      <c r="C12" s="406"/>
      <c r="D12" s="406"/>
      <c r="E12" s="406"/>
      <c r="F12" s="406"/>
      <c r="G12" s="406"/>
      <c r="H12" s="406"/>
      <c r="I12" s="406"/>
      <c r="J12" s="406"/>
      <c r="K12" s="406"/>
      <c r="L12" s="406"/>
      <c r="M12" s="406"/>
      <c r="N12" s="406"/>
      <c r="O12" s="406"/>
      <c r="P12" s="74"/>
      <c r="Q12" s="74"/>
      <c r="R12" s="74"/>
      <c r="S12" s="74"/>
      <c r="T12" s="74"/>
      <c r="U12" s="74"/>
      <c r="V12" s="74"/>
      <c r="W12" s="74"/>
      <c r="X12" s="74"/>
      <c r="Y12" s="74"/>
      <c r="Z12" s="74"/>
    </row>
    <row r="13" spans="1:28" s="2" customFormat="1" ht="18.75" x14ac:dyDescent="0.2">
      <c r="A13" s="401" t="s">
        <v>5</v>
      </c>
      <c r="B13" s="401"/>
      <c r="C13" s="401"/>
      <c r="D13" s="401"/>
      <c r="E13" s="401"/>
      <c r="F13" s="401"/>
      <c r="G13" s="401"/>
      <c r="H13" s="401"/>
      <c r="I13" s="401"/>
      <c r="J13" s="401"/>
      <c r="K13" s="401"/>
      <c r="L13" s="401"/>
      <c r="M13" s="401"/>
      <c r="N13" s="401"/>
      <c r="O13" s="401"/>
      <c r="P13" s="74"/>
      <c r="Q13" s="74"/>
      <c r="R13" s="74"/>
      <c r="S13" s="74"/>
      <c r="T13" s="74"/>
      <c r="U13" s="74"/>
      <c r="V13" s="74"/>
      <c r="W13" s="74"/>
      <c r="X13" s="74"/>
      <c r="Y13" s="74"/>
      <c r="Z13" s="74"/>
    </row>
    <row r="14" spans="1:28" s="79" customFormat="1" ht="15.75" customHeight="1" x14ac:dyDescent="0.2">
      <c r="A14" s="410"/>
      <c r="B14" s="410"/>
      <c r="C14" s="410"/>
      <c r="D14" s="410"/>
      <c r="E14" s="410"/>
      <c r="F14" s="410"/>
      <c r="G14" s="410"/>
      <c r="H14" s="410"/>
      <c r="I14" s="410"/>
      <c r="J14" s="410"/>
      <c r="K14" s="410"/>
      <c r="L14" s="410"/>
      <c r="M14" s="410"/>
      <c r="N14" s="410"/>
      <c r="O14" s="410"/>
      <c r="P14" s="78"/>
      <c r="Q14" s="78"/>
      <c r="R14" s="78"/>
      <c r="S14" s="78"/>
      <c r="T14" s="78"/>
      <c r="U14" s="78"/>
      <c r="V14" s="78"/>
      <c r="W14" s="78"/>
      <c r="X14" s="78"/>
      <c r="Y14" s="78"/>
      <c r="Z14" s="78"/>
    </row>
    <row r="15" spans="1:28" s="80" customFormat="1" ht="46.5" customHeight="1" x14ac:dyDescent="0.2">
      <c r="A15" s="406" t="str">
        <f>'3.4. Паспорт надежность'!A14</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6"/>
      <c r="C15" s="406"/>
      <c r="D15" s="406"/>
      <c r="E15" s="406"/>
      <c r="F15" s="406"/>
      <c r="G15" s="406"/>
      <c r="H15" s="406"/>
      <c r="I15" s="406"/>
      <c r="J15" s="406"/>
      <c r="K15" s="406"/>
      <c r="L15" s="406"/>
      <c r="M15" s="406"/>
      <c r="N15" s="406"/>
      <c r="O15" s="406"/>
      <c r="P15" s="76"/>
      <c r="Q15" s="76"/>
      <c r="R15" s="76"/>
      <c r="S15" s="76"/>
      <c r="T15" s="76"/>
      <c r="U15" s="76"/>
      <c r="V15" s="76"/>
      <c r="W15" s="76"/>
      <c r="X15" s="76"/>
      <c r="Y15" s="76"/>
      <c r="Z15" s="76"/>
    </row>
    <row r="16" spans="1:28" s="80" customFormat="1" ht="15" customHeight="1" x14ac:dyDescent="0.2">
      <c r="A16" s="401" t="s">
        <v>4</v>
      </c>
      <c r="B16" s="401"/>
      <c r="C16" s="401"/>
      <c r="D16" s="401"/>
      <c r="E16" s="401"/>
      <c r="F16" s="401"/>
      <c r="G16" s="401"/>
      <c r="H16" s="401"/>
      <c r="I16" s="401"/>
      <c r="J16" s="401"/>
      <c r="K16" s="401"/>
      <c r="L16" s="401"/>
      <c r="M16" s="401"/>
      <c r="N16" s="401"/>
      <c r="O16" s="401"/>
      <c r="P16" s="77"/>
      <c r="Q16" s="77"/>
      <c r="R16" s="77"/>
      <c r="S16" s="77"/>
      <c r="T16" s="77"/>
      <c r="U16" s="77"/>
      <c r="V16" s="77"/>
      <c r="W16" s="77"/>
      <c r="X16" s="77"/>
      <c r="Y16" s="77"/>
      <c r="Z16" s="77"/>
    </row>
    <row r="17" spans="1:26" s="80" customFormat="1" ht="15" customHeight="1" x14ac:dyDescent="0.2">
      <c r="A17" s="407"/>
      <c r="B17" s="407"/>
      <c r="C17" s="407"/>
      <c r="D17" s="407"/>
      <c r="E17" s="407"/>
      <c r="F17" s="407"/>
      <c r="G17" s="407"/>
      <c r="H17" s="407"/>
      <c r="I17" s="407"/>
      <c r="J17" s="407"/>
      <c r="K17" s="407"/>
      <c r="L17" s="407"/>
      <c r="M17" s="407"/>
      <c r="N17" s="407"/>
      <c r="O17" s="407"/>
      <c r="P17" s="81"/>
      <c r="Q17" s="81"/>
      <c r="R17" s="81"/>
      <c r="S17" s="81"/>
      <c r="T17" s="81"/>
      <c r="U17" s="81"/>
      <c r="V17" s="81"/>
      <c r="W17" s="81"/>
    </row>
    <row r="18" spans="1:26" s="80" customFormat="1" ht="91.5" customHeight="1" x14ac:dyDescent="0.2">
      <c r="A18" s="438" t="s">
        <v>356</v>
      </c>
      <c r="B18" s="438"/>
      <c r="C18" s="438"/>
      <c r="D18" s="438"/>
      <c r="E18" s="438"/>
      <c r="F18" s="438"/>
      <c r="G18" s="438"/>
      <c r="H18" s="438"/>
      <c r="I18" s="438"/>
      <c r="J18" s="438"/>
      <c r="K18" s="438"/>
      <c r="L18" s="438"/>
      <c r="M18" s="438"/>
      <c r="N18" s="438"/>
      <c r="O18" s="438"/>
      <c r="P18" s="82"/>
      <c r="Q18" s="82"/>
      <c r="R18" s="82"/>
      <c r="S18" s="82"/>
      <c r="T18" s="82"/>
      <c r="U18" s="82"/>
      <c r="V18" s="82"/>
      <c r="W18" s="82"/>
      <c r="X18" s="82"/>
      <c r="Y18" s="82"/>
      <c r="Z18" s="82"/>
    </row>
    <row r="19" spans="1:26" s="80" customFormat="1" ht="78" customHeight="1" x14ac:dyDescent="0.2">
      <c r="A19" s="439" t="s">
        <v>3</v>
      </c>
      <c r="B19" s="439" t="s">
        <v>82</v>
      </c>
      <c r="C19" s="439" t="s">
        <v>81</v>
      </c>
      <c r="D19" s="439" t="s">
        <v>73</v>
      </c>
      <c r="E19" s="441" t="s">
        <v>80</v>
      </c>
      <c r="F19" s="442"/>
      <c r="G19" s="442"/>
      <c r="H19" s="442"/>
      <c r="I19" s="443"/>
      <c r="J19" s="439" t="s">
        <v>79</v>
      </c>
      <c r="K19" s="439"/>
      <c r="L19" s="439"/>
      <c r="M19" s="439"/>
      <c r="N19" s="439"/>
      <c r="O19" s="439"/>
      <c r="P19" s="81"/>
      <c r="Q19" s="81"/>
      <c r="R19" s="81"/>
      <c r="S19" s="81"/>
      <c r="T19" s="81"/>
      <c r="U19" s="81"/>
      <c r="V19" s="81"/>
      <c r="W19" s="81"/>
    </row>
    <row r="20" spans="1:26" s="80" customFormat="1" ht="51" customHeight="1" x14ac:dyDescent="0.2">
      <c r="A20" s="439"/>
      <c r="B20" s="439"/>
      <c r="C20" s="439"/>
      <c r="D20" s="439"/>
      <c r="E20" s="323" t="s">
        <v>78</v>
      </c>
      <c r="F20" s="323" t="s">
        <v>77</v>
      </c>
      <c r="G20" s="323" t="s">
        <v>76</v>
      </c>
      <c r="H20" s="323" t="s">
        <v>75</v>
      </c>
      <c r="I20" s="323" t="s">
        <v>74</v>
      </c>
      <c r="J20" s="323">
        <v>2023</v>
      </c>
      <c r="K20" s="323">
        <v>2024</v>
      </c>
      <c r="L20" s="323">
        <v>2025</v>
      </c>
      <c r="M20" s="323">
        <v>2026</v>
      </c>
      <c r="N20" s="323">
        <v>2027</v>
      </c>
      <c r="O20" s="323">
        <v>2028</v>
      </c>
      <c r="P20" s="87"/>
      <c r="Q20" s="87"/>
      <c r="R20" s="87"/>
      <c r="S20" s="87"/>
      <c r="T20" s="87"/>
      <c r="U20" s="87"/>
      <c r="V20" s="87"/>
      <c r="W20" s="87"/>
      <c r="X20" s="88"/>
      <c r="Y20" s="88"/>
      <c r="Z20" s="88"/>
    </row>
    <row r="21" spans="1:26" s="80" customFormat="1" ht="16.5" customHeight="1" x14ac:dyDescent="0.2">
      <c r="A21" s="324">
        <v>1</v>
      </c>
      <c r="B21" s="325">
        <v>2</v>
      </c>
      <c r="C21" s="324">
        <v>3</v>
      </c>
      <c r="D21" s="325">
        <v>4</v>
      </c>
      <c r="E21" s="324">
        <v>5</v>
      </c>
      <c r="F21" s="325">
        <v>6</v>
      </c>
      <c r="G21" s="324">
        <v>7</v>
      </c>
      <c r="H21" s="325">
        <v>8</v>
      </c>
      <c r="I21" s="324">
        <v>9</v>
      </c>
      <c r="J21" s="325">
        <v>10</v>
      </c>
      <c r="K21" s="324">
        <v>11</v>
      </c>
      <c r="L21" s="325">
        <v>12</v>
      </c>
      <c r="M21" s="324">
        <v>13</v>
      </c>
      <c r="N21" s="325">
        <v>14</v>
      </c>
      <c r="O21" s="324">
        <v>15</v>
      </c>
      <c r="P21" s="87"/>
      <c r="Q21" s="87"/>
      <c r="R21" s="87"/>
      <c r="S21" s="87"/>
      <c r="T21" s="87"/>
      <c r="U21" s="87"/>
      <c r="V21" s="87"/>
      <c r="W21" s="87"/>
      <c r="X21" s="88"/>
      <c r="Y21" s="88"/>
      <c r="Z21" s="88"/>
    </row>
    <row r="22" spans="1:26" s="116" customFormat="1" ht="33" customHeight="1" x14ac:dyDescent="0.2">
      <c r="A22" s="326" t="s">
        <v>62</v>
      </c>
      <c r="B22" s="395">
        <v>2024</v>
      </c>
      <c r="C22" s="327">
        <v>0</v>
      </c>
      <c r="D22" s="327">
        <v>0</v>
      </c>
      <c r="E22" s="327">
        <v>0</v>
      </c>
      <c r="F22" s="327">
        <v>0</v>
      </c>
      <c r="G22" s="327">
        <v>0</v>
      </c>
      <c r="H22" s="327">
        <v>0</v>
      </c>
      <c r="I22" s="327">
        <v>0</v>
      </c>
      <c r="J22" s="328">
        <v>0</v>
      </c>
      <c r="K22" s="328">
        <v>0</v>
      </c>
      <c r="L22" s="328">
        <v>0</v>
      </c>
      <c r="M22" s="328">
        <v>0</v>
      </c>
      <c r="N22" s="328">
        <v>0</v>
      </c>
      <c r="O22" s="328">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X201"/>
  <sheetViews>
    <sheetView topLeftCell="A12" zoomScale="80" zoomScaleNormal="80" zoomScaleSheetLayoutView="100" workbookViewId="0">
      <selection activeCell="C25" sqref="C25"/>
    </sheetView>
  </sheetViews>
  <sheetFormatPr defaultColWidth="9.140625" defaultRowHeight="15.75" x14ac:dyDescent="0.2"/>
  <cols>
    <col min="1" max="1" width="61.7109375" style="238" customWidth="1"/>
    <col min="2" max="2" width="18.5703125" style="224" customWidth="1"/>
    <col min="3" max="12" width="16.85546875" style="224" customWidth="1"/>
    <col min="13" max="32" width="16.85546875" style="224" hidden="1" customWidth="1"/>
    <col min="33" max="33" width="9.140625" style="226" hidden="1" customWidth="1"/>
    <col min="34" max="35" width="9.140625" style="226" customWidth="1"/>
    <col min="36" max="235" width="9.140625" style="226"/>
    <col min="236" max="236" width="61.7109375" style="226" customWidth="1"/>
    <col min="237" max="237" width="18.5703125" style="226" customWidth="1"/>
    <col min="238" max="277" width="16.85546875" style="226" customWidth="1"/>
    <col min="278" max="279" width="18.5703125" style="226" customWidth="1"/>
    <col min="280" max="280" width="21.7109375" style="226" customWidth="1"/>
    <col min="281" max="491" width="9.140625" style="226"/>
    <col min="492" max="492" width="61.7109375" style="226" customWidth="1"/>
    <col min="493" max="493" width="18.5703125" style="226" customWidth="1"/>
    <col min="494" max="533" width="16.85546875" style="226" customWidth="1"/>
    <col min="534" max="535" width="18.5703125" style="226" customWidth="1"/>
    <col min="536" max="536" width="21.7109375" style="226" customWidth="1"/>
    <col min="537" max="747" width="9.140625" style="226"/>
    <col min="748" max="748" width="61.7109375" style="226" customWidth="1"/>
    <col min="749" max="749" width="18.5703125" style="226" customWidth="1"/>
    <col min="750" max="789" width="16.85546875" style="226" customWidth="1"/>
    <col min="790" max="791" width="18.5703125" style="226" customWidth="1"/>
    <col min="792" max="792" width="21.7109375" style="226" customWidth="1"/>
    <col min="793" max="1003" width="9.140625" style="226"/>
    <col min="1004" max="1004" width="61.7109375" style="226" customWidth="1"/>
    <col min="1005" max="1005" width="18.5703125" style="226" customWidth="1"/>
    <col min="1006" max="1045" width="16.85546875" style="226" customWidth="1"/>
    <col min="1046" max="1047" width="18.5703125" style="226" customWidth="1"/>
    <col min="1048" max="1048" width="21.7109375" style="226" customWidth="1"/>
    <col min="1049" max="1259" width="9.140625" style="226"/>
    <col min="1260" max="1260" width="61.7109375" style="226" customWidth="1"/>
    <col min="1261" max="1261" width="18.5703125" style="226" customWidth="1"/>
    <col min="1262" max="1301" width="16.85546875" style="226" customWidth="1"/>
    <col min="1302" max="1303" width="18.5703125" style="226" customWidth="1"/>
    <col min="1304" max="1304" width="21.7109375" style="226" customWidth="1"/>
    <col min="1305" max="1515" width="9.140625" style="226"/>
    <col min="1516" max="1516" width="61.7109375" style="226" customWidth="1"/>
    <col min="1517" max="1517" width="18.5703125" style="226" customWidth="1"/>
    <col min="1518" max="1557" width="16.85546875" style="226" customWidth="1"/>
    <col min="1558" max="1559" width="18.5703125" style="226" customWidth="1"/>
    <col min="1560" max="1560" width="21.7109375" style="226" customWidth="1"/>
    <col min="1561" max="1771" width="9.140625" style="226"/>
    <col min="1772" max="1772" width="61.7109375" style="226" customWidth="1"/>
    <col min="1773" max="1773" width="18.5703125" style="226" customWidth="1"/>
    <col min="1774" max="1813" width="16.85546875" style="226" customWidth="1"/>
    <col min="1814" max="1815" width="18.5703125" style="226" customWidth="1"/>
    <col min="1816" max="1816" width="21.7109375" style="226" customWidth="1"/>
    <col min="1817" max="2027" width="9.140625" style="226"/>
    <col min="2028" max="2028" width="61.7109375" style="226" customWidth="1"/>
    <col min="2029" max="2029" width="18.5703125" style="226" customWidth="1"/>
    <col min="2030" max="2069" width="16.85546875" style="226" customWidth="1"/>
    <col min="2070" max="2071" width="18.5703125" style="226" customWidth="1"/>
    <col min="2072" max="2072" width="21.7109375" style="226" customWidth="1"/>
    <col min="2073" max="2283" width="9.140625" style="226"/>
    <col min="2284" max="2284" width="61.7109375" style="226" customWidth="1"/>
    <col min="2285" max="2285" width="18.5703125" style="226" customWidth="1"/>
    <col min="2286" max="2325" width="16.85546875" style="226" customWidth="1"/>
    <col min="2326" max="2327" width="18.5703125" style="226" customWidth="1"/>
    <col min="2328" max="2328" width="21.7109375" style="226" customWidth="1"/>
    <col min="2329" max="2539" width="9.140625" style="226"/>
    <col min="2540" max="2540" width="61.7109375" style="226" customWidth="1"/>
    <col min="2541" max="2541" width="18.5703125" style="226" customWidth="1"/>
    <col min="2542" max="2581" width="16.85546875" style="226" customWidth="1"/>
    <col min="2582" max="2583" width="18.5703125" style="226" customWidth="1"/>
    <col min="2584" max="2584" width="21.7109375" style="226" customWidth="1"/>
    <col min="2585" max="2795" width="9.140625" style="226"/>
    <col min="2796" max="2796" width="61.7109375" style="226" customWidth="1"/>
    <col min="2797" max="2797" width="18.5703125" style="226" customWidth="1"/>
    <col min="2798" max="2837" width="16.85546875" style="226" customWidth="1"/>
    <col min="2838" max="2839" width="18.5703125" style="226" customWidth="1"/>
    <col min="2840" max="2840" width="21.7109375" style="226" customWidth="1"/>
    <col min="2841" max="3051" width="9.140625" style="226"/>
    <col min="3052" max="3052" width="61.7109375" style="226" customWidth="1"/>
    <col min="3053" max="3053" width="18.5703125" style="226" customWidth="1"/>
    <col min="3054" max="3093" width="16.85546875" style="226" customWidth="1"/>
    <col min="3094" max="3095" width="18.5703125" style="226" customWidth="1"/>
    <col min="3096" max="3096" width="21.7109375" style="226" customWidth="1"/>
    <col min="3097" max="3307" width="9.140625" style="226"/>
    <col min="3308" max="3308" width="61.7109375" style="226" customWidth="1"/>
    <col min="3309" max="3309" width="18.5703125" style="226" customWidth="1"/>
    <col min="3310" max="3349" width="16.85546875" style="226" customWidth="1"/>
    <col min="3350" max="3351" width="18.5703125" style="226" customWidth="1"/>
    <col min="3352" max="3352" width="21.7109375" style="226" customWidth="1"/>
    <col min="3353" max="3563" width="9.140625" style="226"/>
    <col min="3564" max="3564" width="61.7109375" style="226" customWidth="1"/>
    <col min="3565" max="3565" width="18.5703125" style="226" customWidth="1"/>
    <col min="3566" max="3605" width="16.85546875" style="226" customWidth="1"/>
    <col min="3606" max="3607" width="18.5703125" style="226" customWidth="1"/>
    <col min="3608" max="3608" width="21.7109375" style="226" customWidth="1"/>
    <col min="3609" max="3819" width="9.140625" style="226"/>
    <col min="3820" max="3820" width="61.7109375" style="226" customWidth="1"/>
    <col min="3821" max="3821" width="18.5703125" style="226" customWidth="1"/>
    <col min="3822" max="3861" width="16.85546875" style="226" customWidth="1"/>
    <col min="3862" max="3863" width="18.5703125" style="226" customWidth="1"/>
    <col min="3864" max="3864" width="21.7109375" style="226" customWidth="1"/>
    <col min="3865" max="4075" width="9.140625" style="226"/>
    <col min="4076" max="4076" width="61.7109375" style="226" customWidth="1"/>
    <col min="4077" max="4077" width="18.5703125" style="226" customWidth="1"/>
    <col min="4078" max="4117" width="16.85546875" style="226" customWidth="1"/>
    <col min="4118" max="4119" width="18.5703125" style="226" customWidth="1"/>
    <col min="4120" max="4120" width="21.7109375" style="226" customWidth="1"/>
    <col min="4121" max="4331" width="9.140625" style="226"/>
    <col min="4332" max="4332" width="61.7109375" style="226" customWidth="1"/>
    <col min="4333" max="4333" width="18.5703125" style="226" customWidth="1"/>
    <col min="4334" max="4373" width="16.85546875" style="226" customWidth="1"/>
    <col min="4374" max="4375" width="18.5703125" style="226" customWidth="1"/>
    <col min="4376" max="4376" width="21.7109375" style="226" customWidth="1"/>
    <col min="4377" max="4587" width="9.140625" style="226"/>
    <col min="4588" max="4588" width="61.7109375" style="226" customWidth="1"/>
    <col min="4589" max="4589" width="18.5703125" style="226" customWidth="1"/>
    <col min="4590" max="4629" width="16.85546875" style="226" customWidth="1"/>
    <col min="4630" max="4631" width="18.5703125" style="226" customWidth="1"/>
    <col min="4632" max="4632" width="21.7109375" style="226" customWidth="1"/>
    <col min="4633" max="4843" width="9.140625" style="226"/>
    <col min="4844" max="4844" width="61.7109375" style="226" customWidth="1"/>
    <col min="4845" max="4845" width="18.5703125" style="226" customWidth="1"/>
    <col min="4846" max="4885" width="16.85546875" style="226" customWidth="1"/>
    <col min="4886" max="4887" width="18.5703125" style="226" customWidth="1"/>
    <col min="4888" max="4888" width="21.7109375" style="226" customWidth="1"/>
    <col min="4889" max="5099" width="9.140625" style="226"/>
    <col min="5100" max="5100" width="61.7109375" style="226" customWidth="1"/>
    <col min="5101" max="5101" width="18.5703125" style="226" customWidth="1"/>
    <col min="5102" max="5141" width="16.85546875" style="226" customWidth="1"/>
    <col min="5142" max="5143" width="18.5703125" style="226" customWidth="1"/>
    <col min="5144" max="5144" width="21.7109375" style="226" customWidth="1"/>
    <col min="5145" max="5355" width="9.140625" style="226"/>
    <col min="5356" max="5356" width="61.7109375" style="226" customWidth="1"/>
    <col min="5357" max="5357" width="18.5703125" style="226" customWidth="1"/>
    <col min="5358" max="5397" width="16.85546875" style="226" customWidth="1"/>
    <col min="5398" max="5399" width="18.5703125" style="226" customWidth="1"/>
    <col min="5400" max="5400" width="21.7109375" style="226" customWidth="1"/>
    <col min="5401" max="5611" width="9.140625" style="226"/>
    <col min="5612" max="5612" width="61.7109375" style="226" customWidth="1"/>
    <col min="5613" max="5613" width="18.5703125" style="226" customWidth="1"/>
    <col min="5614" max="5653" width="16.85546875" style="226" customWidth="1"/>
    <col min="5654" max="5655" width="18.5703125" style="226" customWidth="1"/>
    <col min="5656" max="5656" width="21.7109375" style="226" customWidth="1"/>
    <col min="5657" max="5867" width="9.140625" style="226"/>
    <col min="5868" max="5868" width="61.7109375" style="226" customWidth="1"/>
    <col min="5869" max="5869" width="18.5703125" style="226" customWidth="1"/>
    <col min="5870" max="5909" width="16.85546875" style="226" customWidth="1"/>
    <col min="5910" max="5911" width="18.5703125" style="226" customWidth="1"/>
    <col min="5912" max="5912" width="21.7109375" style="226" customWidth="1"/>
    <col min="5913" max="6123" width="9.140625" style="226"/>
    <col min="6124" max="6124" width="61.7109375" style="226" customWidth="1"/>
    <col min="6125" max="6125" width="18.5703125" style="226" customWidth="1"/>
    <col min="6126" max="6165" width="16.85546875" style="226" customWidth="1"/>
    <col min="6166" max="6167" width="18.5703125" style="226" customWidth="1"/>
    <col min="6168" max="6168" width="21.7109375" style="226" customWidth="1"/>
    <col min="6169" max="6379" width="9.140625" style="226"/>
    <col min="6380" max="6380" width="61.7109375" style="226" customWidth="1"/>
    <col min="6381" max="6381" width="18.5703125" style="226" customWidth="1"/>
    <col min="6382" max="6421" width="16.85546875" style="226" customWidth="1"/>
    <col min="6422" max="6423" width="18.5703125" style="226" customWidth="1"/>
    <col min="6424" max="6424" width="21.7109375" style="226" customWidth="1"/>
    <col min="6425" max="6635" width="9.140625" style="226"/>
    <col min="6636" max="6636" width="61.7109375" style="226" customWidth="1"/>
    <col min="6637" max="6637" width="18.5703125" style="226" customWidth="1"/>
    <col min="6638" max="6677" width="16.85546875" style="226" customWidth="1"/>
    <col min="6678" max="6679" width="18.5703125" style="226" customWidth="1"/>
    <col min="6680" max="6680" width="21.7109375" style="226" customWidth="1"/>
    <col min="6681" max="6891" width="9.140625" style="226"/>
    <col min="6892" max="6892" width="61.7109375" style="226" customWidth="1"/>
    <col min="6893" max="6893" width="18.5703125" style="226" customWidth="1"/>
    <col min="6894" max="6933" width="16.85546875" style="226" customWidth="1"/>
    <col min="6934" max="6935" width="18.5703125" style="226" customWidth="1"/>
    <col min="6936" max="6936" width="21.7109375" style="226" customWidth="1"/>
    <col min="6937" max="7147" width="9.140625" style="226"/>
    <col min="7148" max="7148" width="61.7109375" style="226" customWidth="1"/>
    <col min="7149" max="7149" width="18.5703125" style="226" customWidth="1"/>
    <col min="7150" max="7189" width="16.85546875" style="226" customWidth="1"/>
    <col min="7190" max="7191" width="18.5703125" style="226" customWidth="1"/>
    <col min="7192" max="7192" width="21.7109375" style="226" customWidth="1"/>
    <col min="7193" max="7403" width="9.140625" style="226"/>
    <col min="7404" max="7404" width="61.7109375" style="226" customWidth="1"/>
    <col min="7405" max="7405" width="18.5703125" style="226" customWidth="1"/>
    <col min="7406" max="7445" width="16.85546875" style="226" customWidth="1"/>
    <col min="7446" max="7447" width="18.5703125" style="226" customWidth="1"/>
    <col min="7448" max="7448" width="21.7109375" style="226" customWidth="1"/>
    <col min="7449" max="7659" width="9.140625" style="226"/>
    <col min="7660" max="7660" width="61.7109375" style="226" customWidth="1"/>
    <col min="7661" max="7661" width="18.5703125" style="226" customWidth="1"/>
    <col min="7662" max="7701" width="16.85546875" style="226" customWidth="1"/>
    <col min="7702" max="7703" width="18.5703125" style="226" customWidth="1"/>
    <col min="7704" max="7704" width="21.7109375" style="226" customWidth="1"/>
    <col min="7705" max="7915" width="9.140625" style="226"/>
    <col min="7916" max="7916" width="61.7109375" style="226" customWidth="1"/>
    <col min="7917" max="7917" width="18.5703125" style="226" customWidth="1"/>
    <col min="7918" max="7957" width="16.85546875" style="226" customWidth="1"/>
    <col min="7958" max="7959" width="18.5703125" style="226" customWidth="1"/>
    <col min="7960" max="7960" width="21.7109375" style="226" customWidth="1"/>
    <col min="7961" max="8171" width="9.140625" style="226"/>
    <col min="8172" max="8172" width="61.7109375" style="226" customWidth="1"/>
    <col min="8173" max="8173" width="18.5703125" style="226" customWidth="1"/>
    <col min="8174" max="8213" width="16.85546875" style="226" customWidth="1"/>
    <col min="8214" max="8215" width="18.5703125" style="226" customWidth="1"/>
    <col min="8216" max="8216" width="21.7109375" style="226" customWidth="1"/>
    <col min="8217" max="8427" width="9.140625" style="226"/>
    <col min="8428" max="8428" width="61.7109375" style="226" customWidth="1"/>
    <col min="8429" max="8429" width="18.5703125" style="226" customWidth="1"/>
    <col min="8430" max="8469" width="16.85546875" style="226" customWidth="1"/>
    <col min="8470" max="8471" width="18.5703125" style="226" customWidth="1"/>
    <col min="8472" max="8472" width="21.7109375" style="226" customWidth="1"/>
    <col min="8473" max="8683" width="9.140625" style="226"/>
    <col min="8684" max="8684" width="61.7109375" style="226" customWidth="1"/>
    <col min="8685" max="8685" width="18.5703125" style="226" customWidth="1"/>
    <col min="8686" max="8725" width="16.85546875" style="226" customWidth="1"/>
    <col min="8726" max="8727" width="18.5703125" style="226" customWidth="1"/>
    <col min="8728" max="8728" width="21.7109375" style="226" customWidth="1"/>
    <col min="8729" max="8939" width="9.140625" style="226"/>
    <col min="8940" max="8940" width="61.7109375" style="226" customWidth="1"/>
    <col min="8941" max="8941" width="18.5703125" style="226" customWidth="1"/>
    <col min="8942" max="8981" width="16.85546875" style="226" customWidth="1"/>
    <col min="8982" max="8983" width="18.5703125" style="226" customWidth="1"/>
    <col min="8984" max="8984" width="21.7109375" style="226" customWidth="1"/>
    <col min="8985" max="9195" width="9.140625" style="226"/>
    <col min="9196" max="9196" width="61.7109375" style="226" customWidth="1"/>
    <col min="9197" max="9197" width="18.5703125" style="226" customWidth="1"/>
    <col min="9198" max="9237" width="16.85546875" style="226" customWidth="1"/>
    <col min="9238" max="9239" width="18.5703125" style="226" customWidth="1"/>
    <col min="9240" max="9240" width="21.7109375" style="226" customWidth="1"/>
    <col min="9241" max="9451" width="9.140625" style="226"/>
    <col min="9452" max="9452" width="61.7109375" style="226" customWidth="1"/>
    <col min="9453" max="9453" width="18.5703125" style="226" customWidth="1"/>
    <col min="9454" max="9493" width="16.85546875" style="226" customWidth="1"/>
    <col min="9494" max="9495" width="18.5703125" style="226" customWidth="1"/>
    <col min="9496" max="9496" width="21.7109375" style="226" customWidth="1"/>
    <col min="9497" max="9707" width="9.140625" style="226"/>
    <col min="9708" max="9708" width="61.7109375" style="226" customWidth="1"/>
    <col min="9709" max="9709" width="18.5703125" style="226" customWidth="1"/>
    <col min="9710" max="9749" width="16.85546875" style="226" customWidth="1"/>
    <col min="9750" max="9751" width="18.5703125" style="226" customWidth="1"/>
    <col min="9752" max="9752" width="21.7109375" style="226" customWidth="1"/>
    <col min="9753" max="9963" width="9.140625" style="226"/>
    <col min="9964" max="9964" width="61.7109375" style="226" customWidth="1"/>
    <col min="9965" max="9965" width="18.5703125" style="226" customWidth="1"/>
    <col min="9966" max="10005" width="16.85546875" style="226" customWidth="1"/>
    <col min="10006" max="10007" width="18.5703125" style="226" customWidth="1"/>
    <col min="10008" max="10008" width="21.7109375" style="226" customWidth="1"/>
    <col min="10009" max="10219" width="9.140625" style="226"/>
    <col min="10220" max="10220" width="61.7109375" style="226" customWidth="1"/>
    <col min="10221" max="10221" width="18.5703125" style="226" customWidth="1"/>
    <col min="10222" max="10261" width="16.85546875" style="226" customWidth="1"/>
    <col min="10262" max="10263" width="18.5703125" style="226" customWidth="1"/>
    <col min="10264" max="10264" width="21.7109375" style="226" customWidth="1"/>
    <col min="10265" max="10475" width="9.140625" style="226"/>
    <col min="10476" max="10476" width="61.7109375" style="226" customWidth="1"/>
    <col min="10477" max="10477" width="18.5703125" style="226" customWidth="1"/>
    <col min="10478" max="10517" width="16.85546875" style="226" customWidth="1"/>
    <col min="10518" max="10519" width="18.5703125" style="226" customWidth="1"/>
    <col min="10520" max="10520" width="21.7109375" style="226" customWidth="1"/>
    <col min="10521" max="10731" width="9.140625" style="226"/>
    <col min="10732" max="10732" width="61.7109375" style="226" customWidth="1"/>
    <col min="10733" max="10733" width="18.5703125" style="226" customWidth="1"/>
    <col min="10734" max="10773" width="16.85546875" style="226" customWidth="1"/>
    <col min="10774" max="10775" width="18.5703125" style="226" customWidth="1"/>
    <col min="10776" max="10776" width="21.7109375" style="226" customWidth="1"/>
    <col min="10777" max="10987" width="9.140625" style="226"/>
    <col min="10988" max="10988" width="61.7109375" style="226" customWidth="1"/>
    <col min="10989" max="10989" width="18.5703125" style="226" customWidth="1"/>
    <col min="10990" max="11029" width="16.85546875" style="226" customWidth="1"/>
    <col min="11030" max="11031" width="18.5703125" style="226" customWidth="1"/>
    <col min="11032" max="11032" width="21.7109375" style="226" customWidth="1"/>
    <col min="11033" max="11243" width="9.140625" style="226"/>
    <col min="11244" max="11244" width="61.7109375" style="226" customWidth="1"/>
    <col min="11245" max="11245" width="18.5703125" style="226" customWidth="1"/>
    <col min="11246" max="11285" width="16.85546875" style="226" customWidth="1"/>
    <col min="11286" max="11287" width="18.5703125" style="226" customWidth="1"/>
    <col min="11288" max="11288" width="21.7109375" style="226" customWidth="1"/>
    <col min="11289" max="11499" width="9.140625" style="226"/>
    <col min="11500" max="11500" width="61.7109375" style="226" customWidth="1"/>
    <col min="11501" max="11501" width="18.5703125" style="226" customWidth="1"/>
    <col min="11502" max="11541" width="16.85546875" style="226" customWidth="1"/>
    <col min="11542" max="11543" width="18.5703125" style="226" customWidth="1"/>
    <col min="11544" max="11544" width="21.7109375" style="226" customWidth="1"/>
    <col min="11545" max="11755" width="9.140625" style="226"/>
    <col min="11756" max="11756" width="61.7109375" style="226" customWidth="1"/>
    <col min="11757" max="11757" width="18.5703125" style="226" customWidth="1"/>
    <col min="11758" max="11797" width="16.85546875" style="226" customWidth="1"/>
    <col min="11798" max="11799" width="18.5703125" style="226" customWidth="1"/>
    <col min="11800" max="11800" width="21.7109375" style="226" customWidth="1"/>
    <col min="11801" max="12011" width="9.140625" style="226"/>
    <col min="12012" max="12012" width="61.7109375" style="226" customWidth="1"/>
    <col min="12013" max="12013" width="18.5703125" style="226" customWidth="1"/>
    <col min="12014" max="12053" width="16.85546875" style="226" customWidth="1"/>
    <col min="12054" max="12055" width="18.5703125" style="226" customWidth="1"/>
    <col min="12056" max="12056" width="21.7109375" style="226" customWidth="1"/>
    <col min="12057" max="12267" width="9.140625" style="226"/>
    <col min="12268" max="12268" width="61.7109375" style="226" customWidth="1"/>
    <col min="12269" max="12269" width="18.5703125" style="226" customWidth="1"/>
    <col min="12270" max="12309" width="16.85546875" style="226" customWidth="1"/>
    <col min="12310" max="12311" width="18.5703125" style="226" customWidth="1"/>
    <col min="12312" max="12312" width="21.7109375" style="226" customWidth="1"/>
    <col min="12313" max="12523" width="9.140625" style="226"/>
    <col min="12524" max="12524" width="61.7109375" style="226" customWidth="1"/>
    <col min="12525" max="12525" width="18.5703125" style="226" customWidth="1"/>
    <col min="12526" max="12565" width="16.85546875" style="226" customWidth="1"/>
    <col min="12566" max="12567" width="18.5703125" style="226" customWidth="1"/>
    <col min="12568" max="12568" width="21.7109375" style="226" customWidth="1"/>
    <col min="12569" max="12779" width="9.140625" style="226"/>
    <col min="12780" max="12780" width="61.7109375" style="226" customWidth="1"/>
    <col min="12781" max="12781" width="18.5703125" style="226" customWidth="1"/>
    <col min="12782" max="12821" width="16.85546875" style="226" customWidth="1"/>
    <col min="12822" max="12823" width="18.5703125" style="226" customWidth="1"/>
    <col min="12824" max="12824" width="21.7109375" style="226" customWidth="1"/>
    <col min="12825" max="13035" width="9.140625" style="226"/>
    <col min="13036" max="13036" width="61.7109375" style="226" customWidth="1"/>
    <col min="13037" max="13037" width="18.5703125" style="226" customWidth="1"/>
    <col min="13038" max="13077" width="16.85546875" style="226" customWidth="1"/>
    <col min="13078" max="13079" width="18.5703125" style="226" customWidth="1"/>
    <col min="13080" max="13080" width="21.7109375" style="226" customWidth="1"/>
    <col min="13081" max="13291" width="9.140625" style="226"/>
    <col min="13292" max="13292" width="61.7109375" style="226" customWidth="1"/>
    <col min="13293" max="13293" width="18.5703125" style="226" customWidth="1"/>
    <col min="13294" max="13333" width="16.85546875" style="226" customWidth="1"/>
    <col min="13334" max="13335" width="18.5703125" style="226" customWidth="1"/>
    <col min="13336" max="13336" width="21.7109375" style="226" customWidth="1"/>
    <col min="13337" max="13547" width="9.140625" style="226"/>
    <col min="13548" max="13548" width="61.7109375" style="226" customWidth="1"/>
    <col min="13549" max="13549" width="18.5703125" style="226" customWidth="1"/>
    <col min="13550" max="13589" width="16.85546875" style="226" customWidth="1"/>
    <col min="13590" max="13591" width="18.5703125" style="226" customWidth="1"/>
    <col min="13592" max="13592" width="21.7109375" style="226" customWidth="1"/>
    <col min="13593" max="13803" width="9.140625" style="226"/>
    <col min="13804" max="13804" width="61.7109375" style="226" customWidth="1"/>
    <col min="13805" max="13805" width="18.5703125" style="226" customWidth="1"/>
    <col min="13806" max="13845" width="16.85546875" style="226" customWidth="1"/>
    <col min="13846" max="13847" width="18.5703125" style="226" customWidth="1"/>
    <col min="13848" max="13848" width="21.7109375" style="226" customWidth="1"/>
    <col min="13849" max="14059" width="9.140625" style="226"/>
    <col min="14060" max="14060" width="61.7109375" style="226" customWidth="1"/>
    <col min="14061" max="14061" width="18.5703125" style="226" customWidth="1"/>
    <col min="14062" max="14101" width="16.85546875" style="226" customWidth="1"/>
    <col min="14102" max="14103" width="18.5703125" style="226" customWidth="1"/>
    <col min="14104" max="14104" width="21.7109375" style="226" customWidth="1"/>
    <col min="14105" max="14315" width="9.140625" style="226"/>
    <col min="14316" max="14316" width="61.7109375" style="226" customWidth="1"/>
    <col min="14317" max="14317" width="18.5703125" style="226" customWidth="1"/>
    <col min="14318" max="14357" width="16.85546875" style="226" customWidth="1"/>
    <col min="14358" max="14359" width="18.5703125" style="226" customWidth="1"/>
    <col min="14360" max="14360" width="21.7109375" style="226" customWidth="1"/>
    <col min="14361" max="14571" width="9.140625" style="226"/>
    <col min="14572" max="14572" width="61.7109375" style="226" customWidth="1"/>
    <col min="14573" max="14573" width="18.5703125" style="226" customWidth="1"/>
    <col min="14574" max="14613" width="16.85546875" style="226" customWidth="1"/>
    <col min="14614" max="14615" width="18.5703125" style="226" customWidth="1"/>
    <col min="14616" max="14616" width="21.7109375" style="226" customWidth="1"/>
    <col min="14617" max="14827" width="9.140625" style="226"/>
    <col min="14828" max="14828" width="61.7109375" style="226" customWidth="1"/>
    <col min="14829" max="14829" width="18.5703125" style="226" customWidth="1"/>
    <col min="14830" max="14869" width="16.85546875" style="226" customWidth="1"/>
    <col min="14870" max="14871" width="18.5703125" style="226" customWidth="1"/>
    <col min="14872" max="14872" width="21.7109375" style="226" customWidth="1"/>
    <col min="14873" max="15083" width="9.140625" style="226"/>
    <col min="15084" max="15084" width="61.7109375" style="226" customWidth="1"/>
    <col min="15085" max="15085" width="18.5703125" style="226" customWidth="1"/>
    <col min="15086" max="15125" width="16.85546875" style="226" customWidth="1"/>
    <col min="15126" max="15127" width="18.5703125" style="226" customWidth="1"/>
    <col min="15128" max="15128" width="21.7109375" style="226" customWidth="1"/>
    <col min="15129" max="15339" width="9.140625" style="226"/>
    <col min="15340" max="15340" width="61.7109375" style="226" customWidth="1"/>
    <col min="15341" max="15341" width="18.5703125" style="226" customWidth="1"/>
    <col min="15342" max="15381" width="16.85546875" style="226" customWidth="1"/>
    <col min="15382" max="15383" width="18.5703125" style="226" customWidth="1"/>
    <col min="15384" max="15384" width="21.7109375" style="226" customWidth="1"/>
    <col min="15385" max="15595" width="9.140625" style="226"/>
    <col min="15596" max="15596" width="61.7109375" style="226" customWidth="1"/>
    <col min="15597" max="15597" width="18.5703125" style="226" customWidth="1"/>
    <col min="15598" max="15637" width="16.85546875" style="226" customWidth="1"/>
    <col min="15638" max="15639" width="18.5703125" style="226" customWidth="1"/>
    <col min="15640" max="15640" width="21.7109375" style="226" customWidth="1"/>
    <col min="15641" max="15851" width="9.140625" style="226"/>
    <col min="15852" max="15852" width="61.7109375" style="226" customWidth="1"/>
    <col min="15853" max="15853" width="18.5703125" style="226" customWidth="1"/>
    <col min="15854" max="15893" width="16.85546875" style="226" customWidth="1"/>
    <col min="15894" max="15895" width="18.5703125" style="226" customWidth="1"/>
    <col min="15896" max="15896" width="21.7109375" style="226" customWidth="1"/>
    <col min="15897" max="16107" width="9.140625" style="226"/>
    <col min="16108" max="16108" width="61.7109375" style="226" customWidth="1"/>
    <col min="16109" max="16109" width="18.5703125" style="226" customWidth="1"/>
    <col min="16110" max="16149" width="16.85546875" style="226" customWidth="1"/>
    <col min="16150" max="16151" width="18.5703125" style="226" customWidth="1"/>
    <col min="16152" max="16152" width="21.7109375" style="226" customWidth="1"/>
    <col min="16153" max="16384" width="9.140625" style="226"/>
  </cols>
  <sheetData>
    <row r="1" spans="1:32" ht="18.75" x14ac:dyDescent="0.2">
      <c r="A1" s="2"/>
      <c r="B1" s="223"/>
      <c r="C1" s="223"/>
      <c r="D1" s="223"/>
      <c r="G1" s="223"/>
      <c r="H1" s="4" t="s">
        <v>66</v>
      </c>
      <c r="I1" s="225"/>
      <c r="J1" s="225"/>
      <c r="K1" s="4"/>
      <c r="L1" s="223"/>
      <c r="M1" s="223"/>
      <c r="N1" s="223"/>
      <c r="O1" s="223"/>
      <c r="P1" s="223"/>
      <c r="Q1" s="223"/>
      <c r="R1" s="223"/>
      <c r="S1" s="223"/>
      <c r="T1" s="223"/>
      <c r="U1" s="223"/>
      <c r="V1" s="223"/>
      <c r="W1" s="223"/>
      <c r="X1" s="223"/>
      <c r="Y1" s="223"/>
      <c r="Z1" s="223"/>
      <c r="AA1" s="223"/>
      <c r="AB1" s="223"/>
      <c r="AC1" s="223"/>
      <c r="AD1" s="223"/>
      <c r="AE1" s="223"/>
      <c r="AF1" s="223"/>
    </row>
    <row r="2" spans="1:32" ht="18.75" x14ac:dyDescent="0.3">
      <c r="A2" s="2"/>
      <c r="B2" s="223"/>
      <c r="C2" s="223"/>
      <c r="D2" s="223"/>
      <c r="E2" s="226"/>
      <c r="F2" s="226"/>
      <c r="G2" s="223"/>
      <c r="H2" s="1" t="s">
        <v>8</v>
      </c>
      <c r="I2" s="225"/>
      <c r="J2" s="225"/>
      <c r="K2" s="1"/>
      <c r="L2" s="223"/>
      <c r="M2" s="223"/>
      <c r="N2" s="223"/>
      <c r="O2" s="223"/>
      <c r="P2" s="223"/>
      <c r="Q2" s="223"/>
      <c r="R2" s="223"/>
      <c r="S2" s="223"/>
      <c r="T2" s="223"/>
      <c r="U2" s="223"/>
      <c r="V2" s="223"/>
      <c r="W2" s="223"/>
      <c r="X2" s="223"/>
      <c r="Y2" s="223"/>
      <c r="Z2" s="223"/>
      <c r="AA2" s="223"/>
      <c r="AB2" s="223"/>
      <c r="AC2" s="223"/>
      <c r="AD2" s="223"/>
      <c r="AE2" s="223"/>
      <c r="AF2" s="223"/>
    </row>
    <row r="3" spans="1:32" ht="18.75" x14ac:dyDescent="0.3">
      <c r="A3" s="227"/>
      <c r="B3" s="223"/>
      <c r="C3" s="223"/>
      <c r="D3" s="223"/>
      <c r="E3" s="226"/>
      <c r="F3" s="226"/>
      <c r="G3" s="223"/>
      <c r="H3" s="1" t="s">
        <v>256</v>
      </c>
      <c r="I3" s="225"/>
      <c r="J3" s="225"/>
      <c r="K3" s="1"/>
      <c r="L3" s="223"/>
      <c r="M3" s="223"/>
      <c r="N3" s="223"/>
      <c r="O3" s="223"/>
      <c r="P3" s="223"/>
      <c r="Q3" s="223"/>
      <c r="R3" s="223"/>
      <c r="S3" s="223"/>
      <c r="T3" s="223"/>
      <c r="U3" s="223"/>
      <c r="V3" s="223"/>
      <c r="W3" s="223"/>
      <c r="X3" s="223"/>
      <c r="Y3" s="223"/>
      <c r="Z3" s="223"/>
      <c r="AA3" s="223"/>
      <c r="AB3" s="223"/>
      <c r="AC3" s="223"/>
      <c r="AD3" s="223"/>
      <c r="AE3" s="223"/>
      <c r="AF3" s="223"/>
    </row>
    <row r="4" spans="1:32" ht="18.75" x14ac:dyDescent="0.3">
      <c r="A4" s="227"/>
      <c r="B4" s="223"/>
      <c r="C4" s="223"/>
      <c r="D4" s="223"/>
      <c r="E4" s="223"/>
      <c r="F4" s="223"/>
      <c r="G4" s="223"/>
      <c r="H4" s="223"/>
      <c r="I4" s="225"/>
      <c r="J4" s="225"/>
      <c r="K4" s="1"/>
      <c r="L4" s="223"/>
      <c r="M4" s="223"/>
      <c r="N4" s="223"/>
      <c r="O4" s="223"/>
      <c r="P4" s="223"/>
      <c r="Q4" s="223"/>
      <c r="R4" s="223"/>
      <c r="S4" s="223"/>
      <c r="T4" s="223"/>
      <c r="U4" s="223"/>
      <c r="V4" s="223"/>
      <c r="W4" s="223"/>
      <c r="X4" s="223"/>
      <c r="Y4" s="223"/>
      <c r="Z4" s="223"/>
      <c r="AA4" s="223"/>
      <c r="AB4" s="223"/>
      <c r="AC4" s="223"/>
      <c r="AD4" s="223"/>
      <c r="AE4" s="223"/>
      <c r="AF4" s="223"/>
    </row>
    <row r="5" spans="1:32" x14ac:dyDescent="0.2">
      <c r="A5" s="459" t="str">
        <f>'1. паспорт местоположение'!A5:C5</f>
        <v>Год раскрытия информации: 2025 год</v>
      </c>
      <c r="B5" s="459"/>
      <c r="C5" s="459"/>
      <c r="D5" s="459"/>
      <c r="E5" s="459"/>
      <c r="F5" s="459"/>
      <c r="G5" s="459"/>
      <c r="H5" s="459"/>
      <c r="I5" s="228"/>
      <c r="J5" s="228"/>
      <c r="K5" s="228"/>
      <c r="L5" s="228"/>
      <c r="M5" s="228"/>
      <c r="N5" s="228"/>
      <c r="O5" s="228"/>
      <c r="P5" s="228"/>
      <c r="Q5" s="228"/>
      <c r="R5" s="228"/>
      <c r="S5" s="228"/>
      <c r="T5" s="228"/>
      <c r="U5" s="228"/>
      <c r="V5" s="228"/>
      <c r="W5" s="228"/>
      <c r="X5" s="228"/>
      <c r="Y5" s="228"/>
      <c r="Z5" s="228"/>
      <c r="AA5" s="228"/>
      <c r="AB5" s="228"/>
      <c r="AC5" s="228"/>
      <c r="AD5" s="228"/>
      <c r="AE5" s="228"/>
      <c r="AF5" s="228"/>
    </row>
    <row r="6" spans="1:32" ht="18.75" x14ac:dyDescent="0.3">
      <c r="A6" s="227"/>
      <c r="B6" s="223"/>
      <c r="C6" s="223"/>
      <c r="D6" s="223"/>
      <c r="E6" s="223"/>
      <c r="F6" s="223"/>
      <c r="G6" s="223"/>
      <c r="H6" s="223"/>
      <c r="I6" s="225"/>
      <c r="J6" s="225"/>
      <c r="K6" s="1"/>
      <c r="L6" s="223"/>
      <c r="M6" s="223"/>
      <c r="N6" s="223"/>
      <c r="O6" s="223"/>
      <c r="P6" s="223"/>
      <c r="Q6" s="223"/>
      <c r="R6" s="223"/>
      <c r="S6" s="223"/>
      <c r="T6" s="223"/>
      <c r="U6" s="223"/>
      <c r="V6" s="223"/>
      <c r="W6" s="223"/>
      <c r="X6" s="223"/>
      <c r="Y6" s="223"/>
      <c r="Z6" s="223"/>
      <c r="AA6" s="223"/>
      <c r="AB6" s="223"/>
      <c r="AC6" s="223"/>
      <c r="AD6" s="223"/>
      <c r="AE6" s="223"/>
      <c r="AF6" s="223"/>
    </row>
    <row r="7" spans="1:32" ht="18.75" x14ac:dyDescent="0.2">
      <c r="A7" s="460" t="s">
        <v>7</v>
      </c>
      <c r="B7" s="460"/>
      <c r="C7" s="460"/>
      <c r="D7" s="460"/>
      <c r="E7" s="460"/>
      <c r="F7" s="460"/>
      <c r="G7" s="460"/>
      <c r="H7" s="460"/>
      <c r="I7" s="229"/>
      <c r="J7" s="229"/>
      <c r="K7" s="229"/>
      <c r="L7" s="229"/>
      <c r="M7" s="229"/>
      <c r="N7" s="229"/>
      <c r="O7" s="229"/>
      <c r="P7" s="229"/>
      <c r="Q7" s="229"/>
      <c r="R7" s="229"/>
      <c r="S7" s="229"/>
      <c r="T7" s="229"/>
      <c r="U7" s="229"/>
      <c r="V7" s="229"/>
      <c r="W7" s="229"/>
      <c r="X7" s="229"/>
      <c r="Y7" s="229"/>
      <c r="Z7" s="229"/>
      <c r="AA7" s="229"/>
      <c r="AB7" s="229"/>
      <c r="AC7" s="229"/>
      <c r="AD7" s="229"/>
      <c r="AE7" s="229"/>
      <c r="AF7" s="229"/>
    </row>
    <row r="8" spans="1:32" ht="18.75" x14ac:dyDescent="0.2">
      <c r="A8" s="316"/>
      <c r="B8" s="316"/>
      <c r="C8" s="316"/>
      <c r="D8" s="316"/>
      <c r="E8" s="316"/>
      <c r="F8" s="316"/>
      <c r="G8" s="316"/>
      <c r="H8" s="316"/>
      <c r="I8" s="316"/>
      <c r="J8" s="316"/>
      <c r="K8" s="316"/>
      <c r="L8" s="229"/>
      <c r="M8" s="229"/>
      <c r="N8" s="229"/>
      <c r="O8" s="229"/>
      <c r="P8" s="229"/>
      <c r="Q8" s="229"/>
      <c r="R8" s="229"/>
      <c r="S8" s="229"/>
      <c r="T8" s="229"/>
      <c r="U8" s="229"/>
      <c r="V8" s="229"/>
      <c r="W8" s="229"/>
      <c r="X8" s="229"/>
      <c r="Y8" s="229"/>
      <c r="Z8" s="223"/>
      <c r="AA8" s="223"/>
      <c r="AB8" s="223"/>
      <c r="AC8" s="223"/>
      <c r="AD8" s="223"/>
      <c r="AE8" s="223"/>
      <c r="AF8" s="223"/>
    </row>
    <row r="9" spans="1:32" ht="18.75" x14ac:dyDescent="0.2">
      <c r="A9" s="461" t="str">
        <f>'1. паспорт местоположение'!A9:C9</f>
        <v>Акционерное общество "Россети Янтарь" ДЗО  ПАО "Россети"</v>
      </c>
      <c r="B9" s="461"/>
      <c r="C9" s="461"/>
      <c r="D9" s="461"/>
      <c r="E9" s="461"/>
      <c r="F9" s="461"/>
      <c r="G9" s="461"/>
      <c r="H9" s="461"/>
      <c r="I9" s="230"/>
      <c r="J9" s="230"/>
      <c r="K9" s="230"/>
      <c r="L9" s="230"/>
      <c r="M9" s="230"/>
      <c r="N9" s="230"/>
      <c r="O9" s="230"/>
      <c r="P9" s="230"/>
      <c r="Q9" s="230"/>
      <c r="R9" s="230"/>
      <c r="S9" s="230"/>
      <c r="T9" s="230"/>
      <c r="U9" s="230"/>
      <c r="V9" s="230"/>
      <c r="W9" s="230"/>
      <c r="X9" s="230"/>
      <c r="Y9" s="230"/>
      <c r="Z9" s="230"/>
      <c r="AA9" s="230"/>
      <c r="AB9" s="230"/>
      <c r="AC9" s="230"/>
      <c r="AD9" s="230"/>
      <c r="AE9" s="230"/>
      <c r="AF9" s="230"/>
    </row>
    <row r="10" spans="1:32" x14ac:dyDescent="0.2">
      <c r="A10" s="462" t="s">
        <v>6</v>
      </c>
      <c r="B10" s="462"/>
      <c r="C10" s="462"/>
      <c r="D10" s="462"/>
      <c r="E10" s="462"/>
      <c r="F10" s="462"/>
      <c r="G10" s="462"/>
      <c r="H10" s="462"/>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row>
    <row r="11" spans="1:32" ht="18.75" x14ac:dyDescent="0.2">
      <c r="A11" s="316"/>
      <c r="B11" s="316"/>
      <c r="C11" s="316"/>
      <c r="D11" s="316"/>
      <c r="E11" s="316"/>
      <c r="F11" s="316"/>
      <c r="G11" s="316"/>
      <c r="H11" s="316"/>
      <c r="I11" s="316"/>
      <c r="J11" s="316"/>
      <c r="K11" s="316"/>
      <c r="L11" s="229"/>
      <c r="M11" s="229"/>
      <c r="N11" s="229"/>
      <c r="O11" s="229"/>
      <c r="P11" s="229"/>
      <c r="Q11" s="229"/>
      <c r="R11" s="229"/>
      <c r="S11" s="229"/>
      <c r="T11" s="229"/>
      <c r="U11" s="229"/>
      <c r="V11" s="229"/>
      <c r="W11" s="229"/>
      <c r="X11" s="229"/>
      <c r="Y11" s="229"/>
      <c r="Z11" s="223"/>
      <c r="AA11" s="223"/>
      <c r="AB11" s="223"/>
      <c r="AC11" s="223"/>
      <c r="AD11" s="223"/>
      <c r="AE11" s="223"/>
      <c r="AF11" s="223"/>
    </row>
    <row r="12" spans="1:32" ht="18.75" x14ac:dyDescent="0.2">
      <c r="A12" s="461" t="str">
        <f>'1. паспорт местоположение'!A12:C12</f>
        <v>N_21-1806</v>
      </c>
      <c r="B12" s="461"/>
      <c r="C12" s="461"/>
      <c r="D12" s="461"/>
      <c r="E12" s="461"/>
      <c r="F12" s="461"/>
      <c r="G12" s="461"/>
      <c r="H12" s="461"/>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row>
    <row r="13" spans="1:32" x14ac:dyDescent="0.2">
      <c r="A13" s="462" t="s">
        <v>5</v>
      </c>
      <c r="B13" s="462"/>
      <c r="C13" s="462"/>
      <c r="D13" s="462"/>
      <c r="E13" s="462"/>
      <c r="F13" s="462"/>
      <c r="G13" s="462"/>
      <c r="H13" s="462"/>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row>
    <row r="14" spans="1:32" ht="18.75"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232"/>
      <c r="AA14" s="232"/>
      <c r="AB14" s="232"/>
      <c r="AC14" s="232"/>
      <c r="AD14" s="232"/>
      <c r="AE14" s="232"/>
      <c r="AF14" s="232"/>
    </row>
    <row r="15" spans="1:32" ht="18.75" x14ac:dyDescent="0.2">
      <c r="A15" s="463"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64"/>
      <c r="C15" s="464"/>
      <c r="D15" s="464"/>
      <c r="E15" s="464"/>
      <c r="F15" s="464"/>
      <c r="G15" s="464"/>
      <c r="H15" s="464"/>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row>
    <row r="16" spans="1:32" x14ac:dyDescent="0.2">
      <c r="A16" s="462" t="s">
        <v>4</v>
      </c>
      <c r="B16" s="462"/>
      <c r="C16" s="462"/>
      <c r="D16" s="462"/>
      <c r="E16" s="462"/>
      <c r="F16" s="462"/>
      <c r="G16" s="462"/>
      <c r="H16" s="462"/>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row>
    <row r="17" spans="1:32" ht="18.75" x14ac:dyDescent="0.2">
      <c r="A17" s="233"/>
      <c r="B17" s="233"/>
      <c r="C17" s="233"/>
      <c r="D17" s="233"/>
      <c r="E17" s="233"/>
      <c r="F17" s="233"/>
      <c r="G17" s="233"/>
      <c r="H17" s="233"/>
      <c r="I17" s="233"/>
      <c r="J17" s="233"/>
      <c r="K17" s="233"/>
      <c r="L17" s="233"/>
      <c r="M17" s="233"/>
      <c r="N17" s="233"/>
      <c r="O17" s="233"/>
      <c r="P17" s="233"/>
      <c r="Q17" s="233"/>
      <c r="R17" s="233"/>
      <c r="S17" s="233"/>
      <c r="T17" s="233"/>
      <c r="U17" s="233"/>
      <c r="V17" s="233"/>
      <c r="W17" s="234"/>
      <c r="X17" s="234"/>
      <c r="Y17" s="234"/>
      <c r="Z17" s="234"/>
      <c r="AA17" s="234"/>
      <c r="AB17" s="234"/>
      <c r="AC17" s="234"/>
      <c r="AD17" s="234"/>
      <c r="AE17" s="234"/>
      <c r="AF17" s="234"/>
    </row>
    <row r="18" spans="1:32" ht="18.75" x14ac:dyDescent="0.2">
      <c r="A18" s="461" t="s">
        <v>357</v>
      </c>
      <c r="B18" s="461"/>
      <c r="C18" s="461"/>
      <c r="D18" s="461"/>
      <c r="E18" s="461"/>
      <c r="F18" s="461"/>
      <c r="G18" s="461"/>
      <c r="H18" s="461"/>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row>
    <row r="19" spans="1:32" x14ac:dyDescent="0.2">
      <c r="A19" s="236"/>
      <c r="Q19" s="237"/>
    </row>
    <row r="20" spans="1:32" x14ac:dyDescent="0.2">
      <c r="A20" s="236"/>
      <c r="Q20" s="237"/>
    </row>
    <row r="21" spans="1:32" x14ac:dyDescent="0.2">
      <c r="A21" s="236"/>
      <c r="Q21" s="237"/>
    </row>
    <row r="22" spans="1:32" x14ac:dyDescent="0.2">
      <c r="A22" s="236"/>
      <c r="Q22" s="237"/>
    </row>
    <row r="23" spans="1:32" x14ac:dyDescent="0.2">
      <c r="D23" s="239"/>
      <c r="Q23" s="237"/>
    </row>
    <row r="24" spans="1:32" ht="16.5" thickBot="1" x14ac:dyDescent="0.25">
      <c r="A24" s="240" t="s">
        <v>255</v>
      </c>
      <c r="B24" s="241" t="s">
        <v>1</v>
      </c>
      <c r="D24" s="242"/>
      <c r="E24" s="243"/>
      <c r="F24" s="243"/>
      <c r="G24" s="243"/>
      <c r="H24" s="243"/>
    </row>
    <row r="25" spans="1:32" x14ac:dyDescent="0.2">
      <c r="A25" s="244" t="s">
        <v>390</v>
      </c>
      <c r="B25" s="245">
        <f>'6.2. Паспорт фин осв ввод'!C30*1000000</f>
        <v>30566137.640000001</v>
      </c>
    </row>
    <row r="26" spans="1:32" x14ac:dyDescent="0.2">
      <c r="A26" s="246" t="s">
        <v>253</v>
      </c>
      <c r="B26" s="329">
        <v>0</v>
      </c>
    </row>
    <row r="27" spans="1:32" x14ac:dyDescent="0.2">
      <c r="A27" s="246" t="s">
        <v>251</v>
      </c>
      <c r="B27" s="329">
        <v>30</v>
      </c>
      <c r="D27" s="239" t="s">
        <v>254</v>
      </c>
    </row>
    <row r="28" spans="1:32" ht="16.149999999999999" customHeight="1" thickBot="1" x14ac:dyDescent="0.25">
      <c r="A28" s="247" t="s">
        <v>249</v>
      </c>
      <c r="B28" s="248">
        <v>1</v>
      </c>
      <c r="D28" s="449" t="s">
        <v>252</v>
      </c>
      <c r="E28" s="450"/>
      <c r="F28" s="451"/>
      <c r="G28" s="452">
        <f>IF(SUM(B89:L89)=0,"не окупается",SUM(B89:L89))</f>
        <v>6.2899333217190767</v>
      </c>
      <c r="H28" s="453"/>
    </row>
    <row r="29" spans="1:32" ht="15.6" customHeight="1" x14ac:dyDescent="0.2">
      <c r="A29" s="244" t="s">
        <v>248</v>
      </c>
      <c r="B29" s="245">
        <f>B25*0.01</f>
        <v>305661.37640000001</v>
      </c>
      <c r="D29" s="449" t="s">
        <v>250</v>
      </c>
      <c r="E29" s="450"/>
      <c r="F29" s="451"/>
      <c r="G29" s="452">
        <f>IF(SUM(B90:L90)=0,"не окупается",SUM(B90:L90))</f>
        <v>8.6907104816805827</v>
      </c>
      <c r="H29" s="453"/>
    </row>
    <row r="30" spans="1:32" ht="27.6" customHeight="1" x14ac:dyDescent="0.2">
      <c r="A30" s="246" t="s">
        <v>391</v>
      </c>
      <c r="B30" s="329">
        <v>6</v>
      </c>
      <c r="D30" s="449" t="s">
        <v>531</v>
      </c>
      <c r="E30" s="450"/>
      <c r="F30" s="451"/>
      <c r="G30" s="454">
        <f>L87</f>
        <v>5952284.6545762802</v>
      </c>
      <c r="H30" s="455"/>
    </row>
    <row r="31" spans="1:32" x14ac:dyDescent="0.2">
      <c r="A31" s="246" t="s">
        <v>247</v>
      </c>
      <c r="B31" s="329">
        <v>6</v>
      </c>
      <c r="D31" s="456"/>
      <c r="E31" s="457"/>
      <c r="F31" s="458"/>
      <c r="G31" s="456"/>
      <c r="H31" s="458"/>
    </row>
    <row r="32" spans="1:32" x14ac:dyDescent="0.2">
      <c r="A32" s="246" t="s">
        <v>226</v>
      </c>
      <c r="B32" s="329"/>
    </row>
    <row r="33" spans="1:32" x14ac:dyDescent="0.2">
      <c r="A33" s="246" t="s">
        <v>246</v>
      </c>
      <c r="B33" s="329"/>
    </row>
    <row r="34" spans="1:32" x14ac:dyDescent="0.2">
      <c r="A34" s="246" t="s">
        <v>245</v>
      </c>
      <c r="B34" s="329"/>
    </row>
    <row r="35" spans="1:32" x14ac:dyDescent="0.2">
      <c r="A35" s="330"/>
      <c r="B35" s="329"/>
    </row>
    <row r="36" spans="1:32" ht="16.5" thickBot="1" x14ac:dyDescent="0.25">
      <c r="A36" s="247" t="s">
        <v>220</v>
      </c>
      <c r="B36" s="249">
        <v>0.2</v>
      </c>
    </row>
    <row r="37" spans="1:32" x14ac:dyDescent="0.2">
      <c r="A37" s="244" t="s">
        <v>389</v>
      </c>
      <c r="B37" s="245">
        <v>0</v>
      </c>
    </row>
    <row r="38" spans="1:32" x14ac:dyDescent="0.2">
      <c r="A38" s="246" t="s">
        <v>244</v>
      </c>
      <c r="B38" s="329"/>
    </row>
    <row r="39" spans="1:32" ht="16.5" thickBot="1" x14ac:dyDescent="0.25">
      <c r="A39" s="331" t="s">
        <v>243</v>
      </c>
      <c r="B39" s="332"/>
    </row>
    <row r="40" spans="1:32" x14ac:dyDescent="0.2">
      <c r="A40" s="250" t="s">
        <v>392</v>
      </c>
      <c r="B40" s="251">
        <v>1</v>
      </c>
    </row>
    <row r="41" spans="1:32" x14ac:dyDescent="0.2">
      <c r="A41" s="252" t="s">
        <v>242</v>
      </c>
      <c r="B41" s="253"/>
    </row>
    <row r="42" spans="1:32" x14ac:dyDescent="0.2">
      <c r="A42" s="252" t="s">
        <v>241</v>
      </c>
      <c r="B42" s="254"/>
    </row>
    <row r="43" spans="1:32" x14ac:dyDescent="0.2">
      <c r="A43" s="252" t="s">
        <v>240</v>
      </c>
      <c r="B43" s="254">
        <v>0</v>
      </c>
    </row>
    <row r="44" spans="1:32" x14ac:dyDescent="0.2">
      <c r="A44" s="252" t="s">
        <v>239</v>
      </c>
      <c r="B44" s="254">
        <v>0.1197</v>
      </c>
    </row>
    <row r="45" spans="1:32" x14ac:dyDescent="0.2">
      <c r="A45" s="252" t="s">
        <v>238</v>
      </c>
      <c r="B45" s="254">
        <f>1-B43</f>
        <v>1</v>
      </c>
    </row>
    <row r="46" spans="1:32" ht="16.5" thickBot="1" x14ac:dyDescent="0.25">
      <c r="A46" s="333" t="s">
        <v>532</v>
      </c>
      <c r="B46" s="334">
        <f>B45*B44+B43*B42*(1-B36)</f>
        <v>0.1197</v>
      </c>
      <c r="C46" s="255"/>
    </row>
    <row r="47" spans="1:32" s="258" customFormat="1" x14ac:dyDescent="0.2">
      <c r="A47" s="256" t="s">
        <v>237</v>
      </c>
      <c r="B47" s="257">
        <f>B58</f>
        <v>1</v>
      </c>
      <c r="C47" s="257">
        <f t="shared" ref="C47:AF47" si="0">C58</f>
        <v>2</v>
      </c>
      <c r="D47" s="257">
        <f t="shared" si="0"/>
        <v>3</v>
      </c>
      <c r="E47" s="257">
        <f t="shared" si="0"/>
        <v>4</v>
      </c>
      <c r="F47" s="257">
        <f t="shared" si="0"/>
        <v>5</v>
      </c>
      <c r="G47" s="257">
        <f t="shared" si="0"/>
        <v>6</v>
      </c>
      <c r="H47" s="257">
        <f t="shared" si="0"/>
        <v>7</v>
      </c>
      <c r="I47" s="257">
        <f t="shared" si="0"/>
        <v>8</v>
      </c>
      <c r="J47" s="257">
        <f t="shared" si="0"/>
        <v>9</v>
      </c>
      <c r="K47" s="257">
        <f t="shared" si="0"/>
        <v>10</v>
      </c>
      <c r="L47" s="257">
        <f t="shared" si="0"/>
        <v>11</v>
      </c>
      <c r="M47" s="257">
        <f t="shared" si="0"/>
        <v>12</v>
      </c>
      <c r="N47" s="257">
        <f t="shared" si="0"/>
        <v>13</v>
      </c>
      <c r="O47" s="257">
        <f t="shared" si="0"/>
        <v>14</v>
      </c>
      <c r="P47" s="257">
        <f t="shared" si="0"/>
        <v>15</v>
      </c>
      <c r="Q47" s="257">
        <f t="shared" si="0"/>
        <v>16</v>
      </c>
      <c r="R47" s="257">
        <f t="shared" si="0"/>
        <v>17</v>
      </c>
      <c r="S47" s="257">
        <f t="shared" si="0"/>
        <v>18</v>
      </c>
      <c r="T47" s="257">
        <f t="shared" si="0"/>
        <v>19</v>
      </c>
      <c r="U47" s="257">
        <f t="shared" si="0"/>
        <v>20</v>
      </c>
      <c r="V47" s="257">
        <f t="shared" si="0"/>
        <v>21</v>
      </c>
      <c r="W47" s="257">
        <f t="shared" si="0"/>
        <v>22</v>
      </c>
      <c r="X47" s="257">
        <f t="shared" si="0"/>
        <v>23</v>
      </c>
      <c r="Y47" s="257">
        <f t="shared" si="0"/>
        <v>24</v>
      </c>
      <c r="Z47" s="257">
        <f t="shared" si="0"/>
        <v>25</v>
      </c>
      <c r="AA47" s="257">
        <f t="shared" si="0"/>
        <v>26</v>
      </c>
      <c r="AB47" s="257">
        <f t="shared" si="0"/>
        <v>27</v>
      </c>
      <c r="AC47" s="257">
        <f t="shared" si="0"/>
        <v>28</v>
      </c>
      <c r="AD47" s="257">
        <f t="shared" si="0"/>
        <v>29</v>
      </c>
      <c r="AE47" s="257">
        <f t="shared" si="0"/>
        <v>30</v>
      </c>
      <c r="AF47" s="257">
        <f t="shared" si="0"/>
        <v>31</v>
      </c>
    </row>
    <row r="48" spans="1:32" s="258" customFormat="1" x14ac:dyDescent="0.2">
      <c r="A48" s="259" t="s">
        <v>236</v>
      </c>
      <c r="B48" s="335">
        <f>B129</f>
        <v>9.0964662608273128E-2</v>
      </c>
      <c r="C48" s="335">
        <f t="shared" ref="C48:AF48" si="1">C129</f>
        <v>9.1135032622053413E-2</v>
      </c>
      <c r="D48" s="335">
        <f t="shared" si="1"/>
        <v>7.8163170639641913E-2</v>
      </c>
      <c r="E48" s="335">
        <f t="shared" si="1"/>
        <v>5.2628968689616612E-2</v>
      </c>
      <c r="F48" s="335">
        <f t="shared" si="1"/>
        <v>4.4208979893394937E-2</v>
      </c>
      <c r="G48" s="335">
        <f t="shared" si="1"/>
        <v>4.4208979893394937E-2</v>
      </c>
      <c r="H48" s="335">
        <f t="shared" si="1"/>
        <v>4.4208979893394937E-2</v>
      </c>
      <c r="I48" s="335">
        <f t="shared" si="1"/>
        <v>4.4208979893394937E-2</v>
      </c>
      <c r="J48" s="335">
        <f t="shared" si="1"/>
        <v>4.4208979893394937E-2</v>
      </c>
      <c r="K48" s="335">
        <f t="shared" si="1"/>
        <v>4.4208979893394937E-2</v>
      </c>
      <c r="L48" s="335">
        <f t="shared" si="1"/>
        <v>4.4208979893394937E-2</v>
      </c>
      <c r="M48" s="335">
        <f t="shared" si="1"/>
        <v>4.4208979893394937E-2</v>
      </c>
      <c r="N48" s="335">
        <f t="shared" si="1"/>
        <v>4.4208979893394937E-2</v>
      </c>
      <c r="O48" s="335">
        <f t="shared" si="1"/>
        <v>4.4208979893394937E-2</v>
      </c>
      <c r="P48" s="335">
        <f t="shared" si="1"/>
        <v>4.4208979893394937E-2</v>
      </c>
      <c r="Q48" s="335">
        <f t="shared" si="1"/>
        <v>4.4208979893394937E-2</v>
      </c>
      <c r="R48" s="335">
        <f t="shared" si="1"/>
        <v>4.4208979893394937E-2</v>
      </c>
      <c r="S48" s="335">
        <f t="shared" si="1"/>
        <v>4.4208979893394937E-2</v>
      </c>
      <c r="T48" s="335">
        <f t="shared" si="1"/>
        <v>4.4208979893394937E-2</v>
      </c>
      <c r="U48" s="335">
        <f t="shared" si="1"/>
        <v>4.4208979893394937E-2</v>
      </c>
      <c r="V48" s="335">
        <f t="shared" si="1"/>
        <v>4.4208979893394937E-2</v>
      </c>
      <c r="W48" s="335">
        <f t="shared" si="1"/>
        <v>4.4208979893394937E-2</v>
      </c>
      <c r="X48" s="335">
        <f t="shared" si="1"/>
        <v>4.4208979893394937E-2</v>
      </c>
      <c r="Y48" s="335">
        <f t="shared" si="1"/>
        <v>4.4208979893394937E-2</v>
      </c>
      <c r="Z48" s="335">
        <f t="shared" si="1"/>
        <v>4.4208979893394937E-2</v>
      </c>
      <c r="AA48" s="335">
        <f t="shared" si="1"/>
        <v>4.4208979893394937E-2</v>
      </c>
      <c r="AB48" s="335">
        <f t="shared" si="1"/>
        <v>4.4208979893394937E-2</v>
      </c>
      <c r="AC48" s="335">
        <f t="shared" si="1"/>
        <v>4.4208979893394937E-2</v>
      </c>
      <c r="AD48" s="335">
        <f t="shared" si="1"/>
        <v>4.4208979893394937E-2</v>
      </c>
      <c r="AE48" s="335">
        <f t="shared" si="1"/>
        <v>4.4208979893394937E-2</v>
      </c>
      <c r="AF48" s="335">
        <f t="shared" si="1"/>
        <v>4.4208979893394937E-2</v>
      </c>
    </row>
    <row r="49" spans="1:32" s="258" customFormat="1" x14ac:dyDescent="0.2">
      <c r="A49" s="259" t="s">
        <v>235</v>
      </c>
      <c r="B49" s="335">
        <f>B130</f>
        <v>9.0964662608273128E-2</v>
      </c>
      <c r="C49" s="335">
        <f t="shared" ref="C49:AF49" si="2">C130</f>
        <v>0.19038976272458563</v>
      </c>
      <c r="D49" s="335">
        <f t="shared" si="2"/>
        <v>0.28343440087611027</v>
      </c>
      <c r="E49" s="335">
        <f t="shared" si="2"/>
        <v>0.35098022977499599</v>
      </c>
      <c r="F49" s="335">
        <f t="shared" si="2"/>
        <v>0.41070568758949277</v>
      </c>
      <c r="G49" s="335">
        <f t="shared" si="2"/>
        <v>0.47307154696763454</v>
      </c>
      <c r="H49" s="335">
        <f t="shared" si="2"/>
        <v>0.53819453736905887</v>
      </c>
      <c r="I49" s="335">
        <f t="shared" si="2"/>
        <v>0.60619654874373752</v>
      </c>
      <c r="J49" s="335">
        <f t="shared" si="2"/>
        <v>0.67720485967198973</v>
      </c>
      <c r="K49" s="335">
        <f t="shared" si="2"/>
        <v>0.75135237559033285</v>
      </c>
      <c r="L49" s="335">
        <f t="shared" si="2"/>
        <v>0.8287778775490553</v>
      </c>
      <c r="M49" s="335">
        <f t="shared" si="2"/>
        <v>0.90962628196710682</v>
      </c>
      <c r="N49" s="335">
        <f t="shared" si="2"/>
        <v>0.99404891187048916</v>
      </c>
      <c r="O49" s="335">
        <f t="shared" si="2"/>
        <v>1.0822037801218176</v>
      </c>
      <c r="P49" s="335">
        <f t="shared" si="2"/>
        <v>1.1742558851711737</v>
      </c>
      <c r="Q49" s="335">
        <f t="shared" si="2"/>
        <v>1.2703775198818015</v>
      </c>
      <c r="R49" s="335">
        <f t="shared" si="2"/>
        <v>1.3707485940086719</v>
      </c>
      <c r="S49" s="335">
        <f t="shared" si="2"/>
        <v>1.4755569709334955</v>
      </c>
      <c r="T49" s="335">
        <f t="shared" si="2"/>
        <v>1.5849988192864481</v>
      </c>
      <c r="U49" s="335">
        <f t="shared" si="2"/>
        <v>1.6992789801127324</v>
      </c>
      <c r="V49" s="335">
        <f t="shared" si="2"/>
        <v>1.8186113502711998</v>
      </c>
      <c r="W49" s="335">
        <f t="shared" si="2"/>
        <v>1.9432192827826338</v>
      </c>
      <c r="X49" s="335">
        <f t="shared" si="2"/>
        <v>2.0733360048770235</v>
      </c>
      <c r="Y49" s="335">
        <f t="shared" si="2"/>
        <v>2.2092050545222786</v>
      </c>
      <c r="Z49" s="335">
        <f t="shared" si="2"/>
        <v>2.3510807362514354</v>
      </c>
      <c r="AA49" s="335">
        <f t="shared" si="2"/>
        <v>2.499228597141518</v>
      </c>
      <c r="AB49" s="335">
        <f t="shared" si="2"/>
        <v>2.6539259238349397</v>
      </c>
      <c r="AC49" s="335">
        <f t="shared" si="2"/>
        <v>2.815462261533713</v>
      </c>
      <c r="AD49" s="335">
        <f t="shared" si="2"/>
        <v>2.9841399559378639</v>
      </c>
      <c r="AE49" s="335">
        <f t="shared" si="2"/>
        <v>3.1602747191423921</v>
      </c>
      <c r="AF49" s="335">
        <f t="shared" si="2"/>
        <v>3.3441962205519573</v>
      </c>
    </row>
    <row r="50" spans="1:32" s="258" customFormat="1" ht="16.5" thickBot="1" x14ac:dyDescent="0.25">
      <c r="A50" s="260" t="s">
        <v>393</v>
      </c>
      <c r="B50" s="261">
        <v>14471327.76</v>
      </c>
      <c r="C50" s="261">
        <f>C101*(1+C49)</f>
        <v>0</v>
      </c>
      <c r="D50" s="261">
        <f>D101*(1+D49)</f>
        <v>1841576.6562521455</v>
      </c>
      <c r="E50" s="261">
        <f>E101*(1+E49)</f>
        <v>4217150.6384097347</v>
      </c>
      <c r="F50" s="261">
        <f>F101*(1+F49)</f>
        <v>7014758.0488030845</v>
      </c>
      <c r="G50" s="261">
        <f t="shared" ref="G50:AF50" si="3">G101*(1+G49)</f>
        <v>7575835.6846604198</v>
      </c>
      <c r="H50" s="261">
        <f t="shared" si="3"/>
        <v>8227186.8795686495</v>
      </c>
      <c r="I50" s="261">
        <f t="shared" si="3"/>
        <v>8590902.4189067036</v>
      </c>
      <c r="J50" s="261">
        <f t="shared" si="3"/>
        <v>8970697.4512102678</v>
      </c>
      <c r="K50" s="261">
        <f t="shared" si="3"/>
        <v>9367282.8344605509</v>
      </c>
      <c r="L50" s="261">
        <f t="shared" si="3"/>
        <v>9781400.8529449608</v>
      </c>
      <c r="M50" s="261">
        <f t="shared" si="3"/>
        <v>10213826.60658204</v>
      </c>
      <c r="N50" s="261">
        <f t="shared" si="3"/>
        <v>10665369.461667046</v>
      </c>
      <c r="O50" s="261">
        <f t="shared" si="3"/>
        <v>11136874.565753514</v>
      </c>
      <c r="P50" s="261">
        <f t="shared" si="3"/>
        <v>11629224.429506171</v>
      </c>
      <c r="Q50" s="261">
        <f t="shared" si="3"/>
        <v>12143340.578485984</v>
      </c>
      <c r="R50" s="261">
        <f t="shared" si="3"/>
        <v>12680185.277958918</v>
      </c>
      <c r="S50" s="261">
        <f t="shared" si="3"/>
        <v>13240763.333956726</v>
      </c>
      <c r="T50" s="261">
        <f t="shared" si="3"/>
        <v>13826123.973960821</v>
      </c>
      <c r="U50" s="261">
        <f t="shared" si="3"/>
        <v>14437362.810729239</v>
      </c>
      <c r="V50" s="261">
        <f t="shared" si="3"/>
        <v>15075623.892942417</v>
      </c>
      <c r="W50" s="261">
        <f t="shared" si="3"/>
        <v>15742101.846505892</v>
      </c>
      <c r="X50" s="261">
        <f t="shared" si="3"/>
        <v>16438044.110517846</v>
      </c>
      <c r="Y50" s="261">
        <f t="shared" si="3"/>
        <v>17164753.272086468</v>
      </c>
      <c r="Z50" s="261">
        <f t="shared" si="3"/>
        <v>17923589.504367225</v>
      </c>
      <c r="AA50" s="261">
        <f t="shared" si="3"/>
        <v>18715973.112383258</v>
      </c>
      <c r="AB50" s="261">
        <f t="shared" si="3"/>
        <v>19543387.191393927</v>
      </c>
      <c r="AC50" s="261">
        <f t="shared" si="3"/>
        <v>20407380.402787093</v>
      </c>
      <c r="AD50" s="261">
        <f t="shared" si="3"/>
        <v>21309569.872690771</v>
      </c>
      <c r="AE50" s="261">
        <f t="shared" si="3"/>
        <v>22251644.218729448</v>
      </c>
      <c r="AF50" s="261">
        <f t="shared" si="3"/>
        <v>23235366.710590236</v>
      </c>
    </row>
    <row r="51" spans="1:32" ht="16.5" thickBot="1" x14ac:dyDescent="0.25"/>
    <row r="52" spans="1:32" x14ac:dyDescent="0.2">
      <c r="A52" s="262" t="s">
        <v>234</v>
      </c>
      <c r="B52" s="118">
        <f>B58</f>
        <v>1</v>
      </c>
      <c r="C52" s="118">
        <f t="shared" ref="C52:AF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row>
    <row r="53" spans="1:32" x14ac:dyDescent="0.2">
      <c r="A53" s="263" t="s">
        <v>233</v>
      </c>
      <c r="B53" s="336">
        <v>0</v>
      </c>
      <c r="C53" s="336">
        <f t="shared" ref="C53:AF53" si="5">B53+B54-B55</f>
        <v>0</v>
      </c>
      <c r="D53" s="336">
        <f t="shared" si="5"/>
        <v>0</v>
      </c>
      <c r="E53" s="336">
        <f t="shared" si="5"/>
        <v>0</v>
      </c>
      <c r="F53" s="336">
        <f t="shared" si="5"/>
        <v>0</v>
      </c>
      <c r="G53" s="336">
        <f t="shared" si="5"/>
        <v>0</v>
      </c>
      <c r="H53" s="336">
        <f t="shared" si="5"/>
        <v>0</v>
      </c>
      <c r="I53" s="336">
        <f t="shared" si="5"/>
        <v>0</v>
      </c>
      <c r="J53" s="336">
        <f t="shared" si="5"/>
        <v>0</v>
      </c>
      <c r="K53" s="336">
        <f t="shared" si="5"/>
        <v>0</v>
      </c>
      <c r="L53" s="336">
        <f t="shared" si="5"/>
        <v>0</v>
      </c>
      <c r="M53" s="336">
        <f t="shared" si="5"/>
        <v>0</v>
      </c>
      <c r="N53" s="336">
        <f t="shared" si="5"/>
        <v>0</v>
      </c>
      <c r="O53" s="336">
        <f t="shared" si="5"/>
        <v>0</v>
      </c>
      <c r="P53" s="336">
        <f t="shared" si="5"/>
        <v>0</v>
      </c>
      <c r="Q53" s="336">
        <f t="shared" si="5"/>
        <v>0</v>
      </c>
      <c r="R53" s="336">
        <f t="shared" si="5"/>
        <v>0</v>
      </c>
      <c r="S53" s="336">
        <f t="shared" si="5"/>
        <v>0</v>
      </c>
      <c r="T53" s="336">
        <f t="shared" si="5"/>
        <v>0</v>
      </c>
      <c r="U53" s="336">
        <f t="shared" si="5"/>
        <v>0</v>
      </c>
      <c r="V53" s="336">
        <f t="shared" si="5"/>
        <v>0</v>
      </c>
      <c r="W53" s="336">
        <f t="shared" si="5"/>
        <v>0</v>
      </c>
      <c r="X53" s="336">
        <f t="shared" si="5"/>
        <v>0</v>
      </c>
      <c r="Y53" s="336">
        <f t="shared" si="5"/>
        <v>0</v>
      </c>
      <c r="Z53" s="336">
        <f t="shared" si="5"/>
        <v>0</v>
      </c>
      <c r="AA53" s="336">
        <f t="shared" si="5"/>
        <v>0</v>
      </c>
      <c r="AB53" s="336">
        <f t="shared" si="5"/>
        <v>0</v>
      </c>
      <c r="AC53" s="336">
        <f t="shared" si="5"/>
        <v>0</v>
      </c>
      <c r="AD53" s="336">
        <f t="shared" si="5"/>
        <v>0</v>
      </c>
      <c r="AE53" s="336">
        <f t="shared" si="5"/>
        <v>0</v>
      </c>
      <c r="AF53" s="336">
        <f t="shared" si="5"/>
        <v>0</v>
      </c>
    </row>
    <row r="54" spans="1:32" x14ac:dyDescent="0.2">
      <c r="A54" s="263" t="s">
        <v>232</v>
      </c>
      <c r="B54" s="336">
        <f>B25*B28*B43*1.18</f>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6">
        <v>0</v>
      </c>
      <c r="AD54" s="336">
        <v>0</v>
      </c>
      <c r="AE54" s="336">
        <v>0</v>
      </c>
      <c r="AF54" s="336">
        <v>0</v>
      </c>
    </row>
    <row r="55" spans="1:32" x14ac:dyDescent="0.2">
      <c r="A55" s="263" t="s">
        <v>231</v>
      </c>
      <c r="B55" s="336">
        <f>$B$54/$B$40</f>
        <v>0</v>
      </c>
      <c r="C55" s="336">
        <f t="shared" ref="C55:AF55" si="6">IF(ROUND(C53,1)=0,0,B55+C54/$B$40)</f>
        <v>0</v>
      </c>
      <c r="D55" s="336">
        <f t="shared" si="6"/>
        <v>0</v>
      </c>
      <c r="E55" s="336">
        <f t="shared" si="6"/>
        <v>0</v>
      </c>
      <c r="F55" s="336">
        <f t="shared" si="6"/>
        <v>0</v>
      </c>
      <c r="G55" s="336">
        <f t="shared" si="6"/>
        <v>0</v>
      </c>
      <c r="H55" s="336">
        <f t="shared" si="6"/>
        <v>0</v>
      </c>
      <c r="I55" s="336">
        <f t="shared" si="6"/>
        <v>0</v>
      </c>
      <c r="J55" s="336">
        <f t="shared" si="6"/>
        <v>0</v>
      </c>
      <c r="K55" s="336">
        <f t="shared" si="6"/>
        <v>0</v>
      </c>
      <c r="L55" s="336">
        <f t="shared" si="6"/>
        <v>0</v>
      </c>
      <c r="M55" s="336">
        <f t="shared" si="6"/>
        <v>0</v>
      </c>
      <c r="N55" s="336">
        <f t="shared" si="6"/>
        <v>0</v>
      </c>
      <c r="O55" s="336">
        <f t="shared" si="6"/>
        <v>0</v>
      </c>
      <c r="P55" s="336">
        <f t="shared" si="6"/>
        <v>0</v>
      </c>
      <c r="Q55" s="336">
        <f t="shared" si="6"/>
        <v>0</v>
      </c>
      <c r="R55" s="336">
        <f t="shared" si="6"/>
        <v>0</v>
      </c>
      <c r="S55" s="336">
        <f t="shared" si="6"/>
        <v>0</v>
      </c>
      <c r="T55" s="336">
        <f t="shared" si="6"/>
        <v>0</v>
      </c>
      <c r="U55" s="336">
        <f t="shared" si="6"/>
        <v>0</v>
      </c>
      <c r="V55" s="336">
        <f t="shared" si="6"/>
        <v>0</v>
      </c>
      <c r="W55" s="336">
        <f t="shared" si="6"/>
        <v>0</v>
      </c>
      <c r="X55" s="336">
        <f t="shared" si="6"/>
        <v>0</v>
      </c>
      <c r="Y55" s="336">
        <f t="shared" si="6"/>
        <v>0</v>
      </c>
      <c r="Z55" s="336">
        <f t="shared" si="6"/>
        <v>0</v>
      </c>
      <c r="AA55" s="336">
        <f t="shared" si="6"/>
        <v>0</v>
      </c>
      <c r="AB55" s="336">
        <f t="shared" si="6"/>
        <v>0</v>
      </c>
      <c r="AC55" s="336">
        <f t="shared" si="6"/>
        <v>0</v>
      </c>
      <c r="AD55" s="336">
        <f t="shared" si="6"/>
        <v>0</v>
      </c>
      <c r="AE55" s="336">
        <f t="shared" si="6"/>
        <v>0</v>
      </c>
      <c r="AF55" s="336">
        <f t="shared" si="6"/>
        <v>0</v>
      </c>
    </row>
    <row r="56" spans="1:32" ht="16.5" thickBot="1" x14ac:dyDescent="0.25">
      <c r="A56" s="264" t="s">
        <v>230</v>
      </c>
      <c r="B56" s="119">
        <f t="shared" ref="B56:AF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row>
    <row r="57" spans="1:32"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row>
    <row r="58" spans="1:32" x14ac:dyDescent="0.2">
      <c r="A58" s="262" t="s">
        <v>394</v>
      </c>
      <c r="B58" s="118">
        <v>1</v>
      </c>
      <c r="C58" s="118">
        <f>B58+1</f>
        <v>2</v>
      </c>
      <c r="D58" s="118">
        <f t="shared" ref="D58:AF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row>
    <row r="59" spans="1:32" ht="14.25" x14ac:dyDescent="0.2">
      <c r="A59" s="268" t="s">
        <v>229</v>
      </c>
      <c r="B59" s="337">
        <f t="shared" ref="B59:AF59" si="9">B50*$B$28</f>
        <v>14471327.76</v>
      </c>
      <c r="C59" s="337">
        <f t="shared" si="9"/>
        <v>0</v>
      </c>
      <c r="D59" s="337">
        <f t="shared" si="9"/>
        <v>1841576.6562521455</v>
      </c>
      <c r="E59" s="337">
        <f t="shared" si="9"/>
        <v>4217150.6384097347</v>
      </c>
      <c r="F59" s="337">
        <f t="shared" si="9"/>
        <v>7014758.0488030845</v>
      </c>
      <c r="G59" s="337">
        <f t="shared" si="9"/>
        <v>7575835.6846604198</v>
      </c>
      <c r="H59" s="337">
        <f t="shared" si="9"/>
        <v>8227186.8795686495</v>
      </c>
      <c r="I59" s="337">
        <f t="shared" si="9"/>
        <v>8590902.4189067036</v>
      </c>
      <c r="J59" s="337">
        <f t="shared" si="9"/>
        <v>8970697.4512102678</v>
      </c>
      <c r="K59" s="337">
        <f t="shared" si="9"/>
        <v>9367282.8344605509</v>
      </c>
      <c r="L59" s="337">
        <f t="shared" si="9"/>
        <v>9781400.8529449608</v>
      </c>
      <c r="M59" s="337">
        <f t="shared" si="9"/>
        <v>10213826.60658204</v>
      </c>
      <c r="N59" s="337">
        <f t="shared" si="9"/>
        <v>10665369.461667046</v>
      </c>
      <c r="O59" s="337">
        <f t="shared" si="9"/>
        <v>11136874.565753514</v>
      </c>
      <c r="P59" s="337">
        <f t="shared" si="9"/>
        <v>11629224.429506171</v>
      </c>
      <c r="Q59" s="337">
        <f t="shared" si="9"/>
        <v>12143340.578485984</v>
      </c>
      <c r="R59" s="337">
        <f t="shared" si="9"/>
        <v>12680185.277958918</v>
      </c>
      <c r="S59" s="337">
        <f t="shared" si="9"/>
        <v>13240763.333956726</v>
      </c>
      <c r="T59" s="337">
        <f t="shared" si="9"/>
        <v>13826123.973960821</v>
      </c>
      <c r="U59" s="337">
        <f t="shared" si="9"/>
        <v>14437362.810729239</v>
      </c>
      <c r="V59" s="337">
        <f t="shared" si="9"/>
        <v>15075623.892942417</v>
      </c>
      <c r="W59" s="337">
        <f t="shared" si="9"/>
        <v>15742101.846505892</v>
      </c>
      <c r="X59" s="337">
        <f t="shared" si="9"/>
        <v>16438044.110517846</v>
      </c>
      <c r="Y59" s="337">
        <f t="shared" si="9"/>
        <v>17164753.272086468</v>
      </c>
      <c r="Z59" s="337">
        <f t="shared" si="9"/>
        <v>17923589.504367225</v>
      </c>
      <c r="AA59" s="337">
        <f t="shared" si="9"/>
        <v>18715973.112383258</v>
      </c>
      <c r="AB59" s="337">
        <f t="shared" si="9"/>
        <v>19543387.191393927</v>
      </c>
      <c r="AC59" s="337">
        <f t="shared" si="9"/>
        <v>20407380.402787093</v>
      </c>
      <c r="AD59" s="337">
        <f t="shared" si="9"/>
        <v>21309569.872690771</v>
      </c>
      <c r="AE59" s="337">
        <f t="shared" si="9"/>
        <v>22251644.218729448</v>
      </c>
      <c r="AF59" s="337">
        <f t="shared" si="9"/>
        <v>23235366.710590236</v>
      </c>
    </row>
    <row r="60" spans="1:32" x14ac:dyDescent="0.2">
      <c r="A60" s="263" t="s">
        <v>228</v>
      </c>
      <c r="B60" s="336">
        <f t="shared" ref="B60:Z60" si="10">SUM(B61:B65)</f>
        <v>0</v>
      </c>
      <c r="C60" s="336">
        <f t="shared" si="10"/>
        <v>0</v>
      </c>
      <c r="D60" s="336">
        <f>SUM(D61:D65)</f>
        <v>0</v>
      </c>
      <c r="E60" s="336">
        <f t="shared" si="10"/>
        <v>0</v>
      </c>
      <c r="F60" s="336">
        <f t="shared" si="10"/>
        <v>0</v>
      </c>
      <c r="G60" s="336">
        <f t="shared" si="10"/>
        <v>0</v>
      </c>
      <c r="H60" s="336">
        <f t="shared" si="10"/>
        <v>-470166.6594631878</v>
      </c>
      <c r="I60" s="336">
        <f t="shared" si="10"/>
        <v>0</v>
      </c>
      <c r="J60" s="336">
        <f t="shared" si="10"/>
        <v>0</v>
      </c>
      <c r="K60" s="336">
        <f t="shared" si="10"/>
        <v>0</v>
      </c>
      <c r="L60" s="336">
        <f t="shared" si="10"/>
        <v>0</v>
      </c>
      <c r="M60" s="336">
        <f t="shared" si="10"/>
        <v>0</v>
      </c>
      <c r="N60" s="336">
        <f t="shared" si="10"/>
        <v>-609503.73501125607</v>
      </c>
      <c r="O60" s="336">
        <f t="shared" si="10"/>
        <v>0</v>
      </c>
      <c r="P60" s="336">
        <f t="shared" si="10"/>
        <v>0</v>
      </c>
      <c r="Q60" s="336">
        <f t="shared" si="10"/>
        <v>0</v>
      </c>
      <c r="R60" s="336">
        <f t="shared" si="10"/>
        <v>0</v>
      </c>
      <c r="S60" s="336">
        <f t="shared" si="10"/>
        <v>0</v>
      </c>
      <c r="T60" s="336">
        <f t="shared" si="10"/>
        <v>-790134.2970954706</v>
      </c>
      <c r="U60" s="336">
        <f t="shared" si="10"/>
        <v>0</v>
      </c>
      <c r="V60" s="336">
        <f t="shared" si="10"/>
        <v>0</v>
      </c>
      <c r="W60" s="336">
        <f t="shared" si="10"/>
        <v>0</v>
      </c>
      <c r="X60" s="336">
        <f t="shared" si="10"/>
        <v>0</v>
      </c>
      <c r="Y60" s="336">
        <f t="shared" si="10"/>
        <v>0</v>
      </c>
      <c r="Z60" s="336">
        <f t="shared" si="10"/>
        <v>-1024295.9502701391</v>
      </c>
      <c r="AA60" s="336">
        <f t="shared" ref="AA60:AF60" si="11">SUM(AA61:AA65)</f>
        <v>0</v>
      </c>
      <c r="AB60" s="336">
        <f t="shared" si="11"/>
        <v>0</v>
      </c>
      <c r="AC60" s="336">
        <f t="shared" si="11"/>
        <v>0</v>
      </c>
      <c r="AD60" s="336">
        <f t="shared" si="11"/>
        <v>0</v>
      </c>
      <c r="AE60" s="336">
        <f t="shared" si="11"/>
        <v>0</v>
      </c>
      <c r="AF60" s="336">
        <f t="shared" si="11"/>
        <v>-1327852.9961255894</v>
      </c>
    </row>
    <row r="61" spans="1:32" x14ac:dyDescent="0.2">
      <c r="A61" s="121" t="s">
        <v>227</v>
      </c>
      <c r="B61" s="336"/>
      <c r="C61" s="336">
        <f>-IF(C$47&lt;=$B$30,0,$B$29*(1+C$49)*$B$28)</f>
        <v>0</v>
      </c>
      <c r="D61" s="336">
        <f>-IF(D$47&lt;=$B$30,0,$B$29*(1+D$49)*$B$28)</f>
        <v>0</v>
      </c>
      <c r="E61" s="336">
        <f t="shared" ref="E61:AF61" si="12">-IF(E$47&lt;=$B$30,0,$B$29*(1+E$49)*$B$28)</f>
        <v>0</v>
      </c>
      <c r="F61" s="336">
        <f t="shared" si="12"/>
        <v>0</v>
      </c>
      <c r="G61" s="336">
        <f t="shared" si="12"/>
        <v>0</v>
      </c>
      <c r="H61" s="336">
        <f t="shared" si="12"/>
        <v>-470166.6594631878</v>
      </c>
      <c r="I61" s="336"/>
      <c r="J61" s="336"/>
      <c r="K61" s="336"/>
      <c r="L61" s="336"/>
      <c r="M61" s="336"/>
      <c r="N61" s="336">
        <f t="shared" si="12"/>
        <v>-609503.73501125607</v>
      </c>
      <c r="O61" s="336"/>
      <c r="P61" s="336"/>
      <c r="Q61" s="336"/>
      <c r="R61" s="336"/>
      <c r="S61" s="336"/>
      <c r="T61" s="336">
        <f t="shared" si="12"/>
        <v>-790134.2970954706</v>
      </c>
      <c r="U61" s="336"/>
      <c r="V61" s="336"/>
      <c r="W61" s="336"/>
      <c r="X61" s="336"/>
      <c r="Y61" s="336"/>
      <c r="Z61" s="336">
        <f t="shared" si="12"/>
        <v>-1024295.9502701391</v>
      </c>
      <c r="AA61" s="336"/>
      <c r="AB61" s="336"/>
      <c r="AC61" s="336"/>
      <c r="AD61" s="336"/>
      <c r="AE61" s="336"/>
      <c r="AF61" s="336">
        <f t="shared" si="12"/>
        <v>-1327852.9961255894</v>
      </c>
    </row>
    <row r="62" spans="1:32" x14ac:dyDescent="0.2">
      <c r="A62" s="121" t="str">
        <f>A32</f>
        <v>Прочие расходы при эксплуатации объекта, руб. без НДС</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row>
    <row r="63" spans="1:32" x14ac:dyDescent="0.2">
      <c r="A63" s="121" t="s">
        <v>389</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row>
    <row r="64" spans="1:32" x14ac:dyDescent="0.2">
      <c r="A64" s="121" t="s">
        <v>389</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row>
    <row r="65" spans="1:32" ht="31.5" x14ac:dyDescent="0.2">
      <c r="A65" s="121" t="s">
        <v>533</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row>
    <row r="66" spans="1:32" ht="28.5" x14ac:dyDescent="0.2">
      <c r="A66" s="269" t="s">
        <v>534</v>
      </c>
      <c r="B66" s="337">
        <f t="shared" ref="B66:AF66" si="13">B59+B60</f>
        <v>14471327.76</v>
      </c>
      <c r="C66" s="337">
        <f t="shared" si="13"/>
        <v>0</v>
      </c>
      <c r="D66" s="337">
        <f t="shared" si="13"/>
        <v>1841576.6562521455</v>
      </c>
      <c r="E66" s="337">
        <f t="shared" si="13"/>
        <v>4217150.6384097347</v>
      </c>
      <c r="F66" s="337">
        <f t="shared" si="13"/>
        <v>7014758.0488030845</v>
      </c>
      <c r="G66" s="337">
        <f t="shared" si="13"/>
        <v>7575835.6846604198</v>
      </c>
      <c r="H66" s="337">
        <f t="shared" si="13"/>
        <v>7757020.2201054618</v>
      </c>
      <c r="I66" s="337">
        <f t="shared" si="13"/>
        <v>8590902.4189067036</v>
      </c>
      <c r="J66" s="337">
        <f t="shared" si="13"/>
        <v>8970697.4512102678</v>
      </c>
      <c r="K66" s="337">
        <f t="shared" si="13"/>
        <v>9367282.8344605509</v>
      </c>
      <c r="L66" s="337">
        <f t="shared" si="13"/>
        <v>9781400.8529449608</v>
      </c>
      <c r="M66" s="337">
        <f t="shared" si="13"/>
        <v>10213826.60658204</v>
      </c>
      <c r="N66" s="337">
        <f t="shared" si="13"/>
        <v>10055865.726655791</v>
      </c>
      <c r="O66" s="337">
        <f t="shared" si="13"/>
        <v>11136874.565753514</v>
      </c>
      <c r="P66" s="337">
        <f t="shared" si="13"/>
        <v>11629224.429506171</v>
      </c>
      <c r="Q66" s="337">
        <f t="shared" si="13"/>
        <v>12143340.578485984</v>
      </c>
      <c r="R66" s="337">
        <f t="shared" si="13"/>
        <v>12680185.277958918</v>
      </c>
      <c r="S66" s="337">
        <f t="shared" si="13"/>
        <v>13240763.333956726</v>
      </c>
      <c r="T66" s="337">
        <f t="shared" si="13"/>
        <v>13035989.67686535</v>
      </c>
      <c r="U66" s="337">
        <f t="shared" si="13"/>
        <v>14437362.810729239</v>
      </c>
      <c r="V66" s="337">
        <f t="shared" si="13"/>
        <v>15075623.892942417</v>
      </c>
      <c r="W66" s="337">
        <f t="shared" si="13"/>
        <v>15742101.846505892</v>
      </c>
      <c r="X66" s="337">
        <f t="shared" si="13"/>
        <v>16438044.110517846</v>
      </c>
      <c r="Y66" s="337">
        <f t="shared" si="13"/>
        <v>17164753.272086468</v>
      </c>
      <c r="Z66" s="337">
        <f t="shared" si="13"/>
        <v>16899293.554097086</v>
      </c>
      <c r="AA66" s="337">
        <f t="shared" si="13"/>
        <v>18715973.112383258</v>
      </c>
      <c r="AB66" s="337">
        <f t="shared" si="13"/>
        <v>19543387.191393927</v>
      </c>
      <c r="AC66" s="337">
        <f t="shared" si="13"/>
        <v>20407380.402787093</v>
      </c>
      <c r="AD66" s="337">
        <f t="shared" si="13"/>
        <v>21309569.872690771</v>
      </c>
      <c r="AE66" s="337">
        <f t="shared" si="13"/>
        <v>22251644.218729448</v>
      </c>
      <c r="AF66" s="337">
        <f t="shared" si="13"/>
        <v>21907513.714464646</v>
      </c>
    </row>
    <row r="67" spans="1:32" x14ac:dyDescent="0.2">
      <c r="A67" s="121" t="s">
        <v>222</v>
      </c>
      <c r="B67" s="117"/>
      <c r="C67" s="336"/>
      <c r="D67" s="336">
        <f>-($B$25)*$B$28/$B$27</f>
        <v>-1018871.2546666667</v>
      </c>
      <c r="E67" s="336">
        <f t="shared" ref="E67:AF67" si="14">D67</f>
        <v>-1018871.2546666667</v>
      </c>
      <c r="F67" s="336">
        <f t="shared" si="14"/>
        <v>-1018871.2546666667</v>
      </c>
      <c r="G67" s="336">
        <f t="shared" si="14"/>
        <v>-1018871.2546666667</v>
      </c>
      <c r="H67" s="336">
        <f t="shared" si="14"/>
        <v>-1018871.2546666667</v>
      </c>
      <c r="I67" s="336">
        <f t="shared" si="14"/>
        <v>-1018871.2546666667</v>
      </c>
      <c r="J67" s="336">
        <f t="shared" si="14"/>
        <v>-1018871.2546666667</v>
      </c>
      <c r="K67" s="336">
        <f t="shared" si="14"/>
        <v>-1018871.2546666667</v>
      </c>
      <c r="L67" s="336">
        <f t="shared" si="14"/>
        <v>-1018871.2546666667</v>
      </c>
      <c r="M67" s="336">
        <f t="shared" si="14"/>
        <v>-1018871.2546666667</v>
      </c>
      <c r="N67" s="336">
        <f t="shared" si="14"/>
        <v>-1018871.2546666667</v>
      </c>
      <c r="O67" s="336">
        <f t="shared" si="14"/>
        <v>-1018871.2546666667</v>
      </c>
      <c r="P67" s="336">
        <f t="shared" si="14"/>
        <v>-1018871.2546666667</v>
      </c>
      <c r="Q67" s="336">
        <f t="shared" si="14"/>
        <v>-1018871.2546666667</v>
      </c>
      <c r="R67" s="336">
        <f t="shared" si="14"/>
        <v>-1018871.2546666667</v>
      </c>
      <c r="S67" s="336">
        <f t="shared" si="14"/>
        <v>-1018871.2546666667</v>
      </c>
      <c r="T67" s="336">
        <f t="shared" si="14"/>
        <v>-1018871.2546666667</v>
      </c>
      <c r="U67" s="336">
        <f t="shared" si="14"/>
        <v>-1018871.2546666667</v>
      </c>
      <c r="V67" s="336">
        <f t="shared" si="14"/>
        <v>-1018871.2546666667</v>
      </c>
      <c r="W67" s="336">
        <f t="shared" si="14"/>
        <v>-1018871.2546666667</v>
      </c>
      <c r="X67" s="336">
        <f t="shared" si="14"/>
        <v>-1018871.2546666667</v>
      </c>
      <c r="Y67" s="336">
        <f t="shared" si="14"/>
        <v>-1018871.2546666667</v>
      </c>
      <c r="Z67" s="336">
        <f t="shared" si="14"/>
        <v>-1018871.2546666667</v>
      </c>
      <c r="AA67" s="336">
        <f t="shared" si="14"/>
        <v>-1018871.2546666667</v>
      </c>
      <c r="AB67" s="336">
        <f t="shared" si="14"/>
        <v>-1018871.2546666667</v>
      </c>
      <c r="AC67" s="336">
        <f t="shared" si="14"/>
        <v>-1018871.2546666667</v>
      </c>
      <c r="AD67" s="336">
        <f t="shared" si="14"/>
        <v>-1018871.2546666667</v>
      </c>
      <c r="AE67" s="336">
        <f t="shared" si="14"/>
        <v>-1018871.2546666667</v>
      </c>
      <c r="AF67" s="336">
        <f t="shared" si="14"/>
        <v>-1018871.2546666667</v>
      </c>
    </row>
    <row r="68" spans="1:32" ht="28.5" x14ac:dyDescent="0.2">
      <c r="A68" s="269" t="s">
        <v>535</v>
      </c>
      <c r="B68" s="337">
        <f t="shared" ref="B68:J68" si="15">B66+B67</f>
        <v>14471327.76</v>
      </c>
      <c r="C68" s="337">
        <f>C66+C67</f>
        <v>0</v>
      </c>
      <c r="D68" s="337">
        <f>D66+D67</f>
        <v>822705.4015854788</v>
      </c>
      <c r="E68" s="337">
        <f t="shared" si="15"/>
        <v>3198279.3837430682</v>
      </c>
      <c r="F68" s="337">
        <f>F66+C67</f>
        <v>7014758.0488030845</v>
      </c>
      <c r="G68" s="337">
        <f t="shared" si="15"/>
        <v>6556964.4299937533</v>
      </c>
      <c r="H68" s="337">
        <f t="shared" si="15"/>
        <v>6738148.9654387953</v>
      </c>
      <c r="I68" s="337">
        <f t="shared" si="15"/>
        <v>7572031.1642400371</v>
      </c>
      <c r="J68" s="337">
        <f t="shared" si="15"/>
        <v>7951826.1965436013</v>
      </c>
      <c r="K68" s="337">
        <f>K66+K67</f>
        <v>8348411.5797938844</v>
      </c>
      <c r="L68" s="337">
        <f>L66+L67</f>
        <v>8762529.5982782934</v>
      </c>
      <c r="M68" s="337">
        <f t="shared" ref="M68:AF68" si="16">M66+M67</f>
        <v>9194955.3519153725</v>
      </c>
      <c r="N68" s="337">
        <f t="shared" si="16"/>
        <v>9036994.4719891232</v>
      </c>
      <c r="O68" s="337">
        <f t="shared" si="16"/>
        <v>10118003.311086847</v>
      </c>
      <c r="P68" s="337">
        <f t="shared" si="16"/>
        <v>10610353.174839504</v>
      </c>
      <c r="Q68" s="337">
        <f t="shared" si="16"/>
        <v>11124469.323819317</v>
      </c>
      <c r="R68" s="337">
        <f t="shared" si="16"/>
        <v>11661314.023292251</v>
      </c>
      <c r="S68" s="337">
        <f t="shared" si="16"/>
        <v>12221892.079290058</v>
      </c>
      <c r="T68" s="337">
        <f t="shared" si="16"/>
        <v>12017118.422198683</v>
      </c>
      <c r="U68" s="337">
        <f t="shared" si="16"/>
        <v>13418491.556062572</v>
      </c>
      <c r="V68" s="337">
        <f t="shared" si="16"/>
        <v>14056752.63827575</v>
      </c>
      <c r="W68" s="337">
        <f t="shared" si="16"/>
        <v>14723230.591839224</v>
      </c>
      <c r="X68" s="337">
        <f t="shared" si="16"/>
        <v>15419172.855851179</v>
      </c>
      <c r="Y68" s="337">
        <f t="shared" si="16"/>
        <v>16145882.0174198</v>
      </c>
      <c r="Z68" s="337">
        <f t="shared" si="16"/>
        <v>15880422.299430419</v>
      </c>
      <c r="AA68" s="337">
        <f t="shared" si="16"/>
        <v>17697101.85771659</v>
      </c>
      <c r="AB68" s="337">
        <f t="shared" si="16"/>
        <v>18524515.936727259</v>
      </c>
      <c r="AC68" s="337">
        <f t="shared" si="16"/>
        <v>19388509.148120426</v>
      </c>
      <c r="AD68" s="337">
        <f t="shared" si="16"/>
        <v>20290698.618024103</v>
      </c>
      <c r="AE68" s="337">
        <f t="shared" si="16"/>
        <v>21232772.96406278</v>
      </c>
      <c r="AF68" s="337">
        <f t="shared" si="16"/>
        <v>20888642.459797978</v>
      </c>
    </row>
    <row r="69" spans="1:32" x14ac:dyDescent="0.2">
      <c r="A69" s="121" t="s">
        <v>221</v>
      </c>
      <c r="B69" s="336">
        <f t="shared" ref="B69:AF69" si="17">-B56</f>
        <v>0</v>
      </c>
      <c r="C69" s="336">
        <f t="shared" si="17"/>
        <v>0</v>
      </c>
      <c r="D69" s="336">
        <f t="shared" si="17"/>
        <v>0</v>
      </c>
      <c r="E69" s="336">
        <f t="shared" si="17"/>
        <v>0</v>
      </c>
      <c r="F69" s="336">
        <f t="shared" si="17"/>
        <v>0</v>
      </c>
      <c r="G69" s="336">
        <f t="shared" si="17"/>
        <v>0</v>
      </c>
      <c r="H69" s="336">
        <f t="shared" si="17"/>
        <v>0</v>
      </c>
      <c r="I69" s="336">
        <f t="shared" si="17"/>
        <v>0</v>
      </c>
      <c r="J69" s="336">
        <f t="shared" si="17"/>
        <v>0</v>
      </c>
      <c r="K69" s="336">
        <f t="shared" si="17"/>
        <v>0</v>
      </c>
      <c r="L69" s="336">
        <f t="shared" si="17"/>
        <v>0</v>
      </c>
      <c r="M69" s="336">
        <f t="shared" si="17"/>
        <v>0</v>
      </c>
      <c r="N69" s="336">
        <f t="shared" si="17"/>
        <v>0</v>
      </c>
      <c r="O69" s="336">
        <f t="shared" si="17"/>
        <v>0</v>
      </c>
      <c r="P69" s="336">
        <f t="shared" si="17"/>
        <v>0</v>
      </c>
      <c r="Q69" s="336">
        <f t="shared" si="17"/>
        <v>0</v>
      </c>
      <c r="R69" s="336">
        <f t="shared" si="17"/>
        <v>0</v>
      </c>
      <c r="S69" s="336">
        <f t="shared" si="17"/>
        <v>0</v>
      </c>
      <c r="T69" s="336">
        <f t="shared" si="17"/>
        <v>0</v>
      </c>
      <c r="U69" s="336">
        <f t="shared" si="17"/>
        <v>0</v>
      </c>
      <c r="V69" s="336">
        <f t="shared" si="17"/>
        <v>0</v>
      </c>
      <c r="W69" s="336">
        <f t="shared" si="17"/>
        <v>0</v>
      </c>
      <c r="X69" s="336">
        <f t="shared" si="17"/>
        <v>0</v>
      </c>
      <c r="Y69" s="336">
        <f t="shared" si="17"/>
        <v>0</v>
      </c>
      <c r="Z69" s="336">
        <f t="shared" si="17"/>
        <v>0</v>
      </c>
      <c r="AA69" s="336">
        <f t="shared" si="17"/>
        <v>0</v>
      </c>
      <c r="AB69" s="336">
        <f t="shared" si="17"/>
        <v>0</v>
      </c>
      <c r="AC69" s="336">
        <f t="shared" si="17"/>
        <v>0</v>
      </c>
      <c r="AD69" s="336">
        <f t="shared" si="17"/>
        <v>0</v>
      </c>
      <c r="AE69" s="336">
        <f t="shared" si="17"/>
        <v>0</v>
      </c>
      <c r="AF69" s="336">
        <f t="shared" si="17"/>
        <v>0</v>
      </c>
    </row>
    <row r="70" spans="1:32" ht="14.25" x14ac:dyDescent="0.2">
      <c r="A70" s="269" t="s">
        <v>225</v>
      </c>
      <c r="B70" s="337">
        <f t="shared" ref="B70:AF70" si="18">B68+B69</f>
        <v>14471327.76</v>
      </c>
      <c r="C70" s="337">
        <f t="shared" si="18"/>
        <v>0</v>
      </c>
      <c r="D70" s="337">
        <f t="shared" si="18"/>
        <v>822705.4015854788</v>
      </c>
      <c r="E70" s="337">
        <f t="shared" si="18"/>
        <v>3198279.3837430682</v>
      </c>
      <c r="F70" s="337">
        <f t="shared" si="18"/>
        <v>7014758.0488030845</v>
      </c>
      <c r="G70" s="337">
        <f t="shared" si="18"/>
        <v>6556964.4299937533</v>
      </c>
      <c r="H70" s="337">
        <f t="shared" si="18"/>
        <v>6738148.9654387953</v>
      </c>
      <c r="I70" s="337">
        <f t="shared" si="18"/>
        <v>7572031.1642400371</v>
      </c>
      <c r="J70" s="337">
        <f t="shared" si="18"/>
        <v>7951826.1965436013</v>
      </c>
      <c r="K70" s="337">
        <f t="shared" si="18"/>
        <v>8348411.5797938844</v>
      </c>
      <c r="L70" s="337">
        <f t="shared" si="18"/>
        <v>8762529.5982782934</v>
      </c>
      <c r="M70" s="337">
        <f t="shared" si="18"/>
        <v>9194955.3519153725</v>
      </c>
      <c r="N70" s="337">
        <f t="shared" si="18"/>
        <v>9036994.4719891232</v>
      </c>
      <c r="O70" s="337">
        <f t="shared" si="18"/>
        <v>10118003.311086847</v>
      </c>
      <c r="P70" s="337">
        <f t="shared" si="18"/>
        <v>10610353.174839504</v>
      </c>
      <c r="Q70" s="337">
        <f t="shared" si="18"/>
        <v>11124469.323819317</v>
      </c>
      <c r="R70" s="337">
        <f t="shared" si="18"/>
        <v>11661314.023292251</v>
      </c>
      <c r="S70" s="337">
        <f t="shared" si="18"/>
        <v>12221892.079290058</v>
      </c>
      <c r="T70" s="337">
        <f t="shared" si="18"/>
        <v>12017118.422198683</v>
      </c>
      <c r="U70" s="337">
        <f t="shared" si="18"/>
        <v>13418491.556062572</v>
      </c>
      <c r="V70" s="337">
        <f t="shared" si="18"/>
        <v>14056752.63827575</v>
      </c>
      <c r="W70" s="337">
        <f t="shared" si="18"/>
        <v>14723230.591839224</v>
      </c>
      <c r="X70" s="337">
        <f t="shared" si="18"/>
        <v>15419172.855851179</v>
      </c>
      <c r="Y70" s="337">
        <f t="shared" si="18"/>
        <v>16145882.0174198</v>
      </c>
      <c r="Z70" s="337">
        <f t="shared" si="18"/>
        <v>15880422.299430419</v>
      </c>
      <c r="AA70" s="337">
        <f t="shared" si="18"/>
        <v>17697101.85771659</v>
      </c>
      <c r="AB70" s="337">
        <f t="shared" si="18"/>
        <v>18524515.936727259</v>
      </c>
      <c r="AC70" s="337">
        <f t="shared" si="18"/>
        <v>19388509.148120426</v>
      </c>
      <c r="AD70" s="337">
        <f t="shared" si="18"/>
        <v>20290698.618024103</v>
      </c>
      <c r="AE70" s="337">
        <f t="shared" si="18"/>
        <v>21232772.96406278</v>
      </c>
      <c r="AF70" s="337">
        <f t="shared" si="18"/>
        <v>20888642.459797978</v>
      </c>
    </row>
    <row r="71" spans="1:32" x14ac:dyDescent="0.2">
      <c r="A71" s="121" t="s">
        <v>220</v>
      </c>
      <c r="B71" s="336">
        <f t="shared" ref="B71:AF71" si="19">-B70*$B$36</f>
        <v>-2894265.5520000001</v>
      </c>
      <c r="C71" s="336">
        <f t="shared" si="19"/>
        <v>0</v>
      </c>
      <c r="D71" s="336">
        <f t="shared" si="19"/>
        <v>-164541.08031709577</v>
      </c>
      <c r="E71" s="336">
        <f t="shared" si="19"/>
        <v>-639655.87674861366</v>
      </c>
      <c r="F71" s="336">
        <f t="shared" si="19"/>
        <v>-1402951.6097606169</v>
      </c>
      <c r="G71" s="336">
        <f t="shared" si="19"/>
        <v>-1311392.8859987508</v>
      </c>
      <c r="H71" s="336">
        <f t="shared" si="19"/>
        <v>-1347629.7930877591</v>
      </c>
      <c r="I71" s="336">
        <f t="shared" si="19"/>
        <v>-1514406.2328480075</v>
      </c>
      <c r="J71" s="336">
        <f t="shared" si="19"/>
        <v>-1590365.2393087205</v>
      </c>
      <c r="K71" s="336">
        <f t="shared" si="19"/>
        <v>-1669682.315958777</v>
      </c>
      <c r="L71" s="336">
        <f t="shared" si="19"/>
        <v>-1752505.9196556588</v>
      </c>
      <c r="M71" s="336">
        <f t="shared" si="19"/>
        <v>-1838991.0703830747</v>
      </c>
      <c r="N71" s="336">
        <f t="shared" si="19"/>
        <v>-1807398.8943978248</v>
      </c>
      <c r="O71" s="336">
        <f t="shared" si="19"/>
        <v>-2023600.6622173693</v>
      </c>
      <c r="P71" s="336">
        <f t="shared" si="19"/>
        <v>-2122070.6349679008</v>
      </c>
      <c r="Q71" s="336">
        <f t="shared" si="19"/>
        <v>-2224893.8647638634</v>
      </c>
      <c r="R71" s="336">
        <f t="shared" si="19"/>
        <v>-2332262.8046584502</v>
      </c>
      <c r="S71" s="336">
        <f t="shared" si="19"/>
        <v>-2444378.4158580117</v>
      </c>
      <c r="T71" s="336">
        <f t="shared" si="19"/>
        <v>-2403423.6844397369</v>
      </c>
      <c r="U71" s="336">
        <f t="shared" si="19"/>
        <v>-2683698.3112125145</v>
      </c>
      <c r="V71" s="336">
        <f t="shared" si="19"/>
        <v>-2811350.5276551503</v>
      </c>
      <c r="W71" s="336">
        <f t="shared" si="19"/>
        <v>-2944646.1183678452</v>
      </c>
      <c r="X71" s="336">
        <f t="shared" si="19"/>
        <v>-3083834.571170236</v>
      </c>
      <c r="Y71" s="336">
        <f t="shared" si="19"/>
        <v>-3229176.4034839603</v>
      </c>
      <c r="Z71" s="336">
        <f t="shared" si="19"/>
        <v>-3176084.4598860838</v>
      </c>
      <c r="AA71" s="336">
        <f t="shared" si="19"/>
        <v>-3539420.371543318</v>
      </c>
      <c r="AB71" s="336">
        <f t="shared" si="19"/>
        <v>-3704903.1873454521</v>
      </c>
      <c r="AC71" s="336">
        <f t="shared" si="19"/>
        <v>-3877701.8296240852</v>
      </c>
      <c r="AD71" s="336">
        <f t="shared" si="19"/>
        <v>-4058139.7236048207</v>
      </c>
      <c r="AE71" s="336">
        <f t="shared" si="19"/>
        <v>-4246554.5928125558</v>
      </c>
      <c r="AF71" s="336">
        <f t="shared" si="19"/>
        <v>-4177728.4919595961</v>
      </c>
    </row>
    <row r="72" spans="1:32" ht="15" thickBot="1" x14ac:dyDescent="0.25">
      <c r="A72" s="270" t="s">
        <v>224</v>
      </c>
      <c r="B72" s="120">
        <f t="shared" ref="B72:AF72" si="20">B70+B71</f>
        <v>11577062.208000001</v>
      </c>
      <c r="C72" s="120">
        <f t="shared" si="20"/>
        <v>0</v>
      </c>
      <c r="D72" s="120">
        <f t="shared" si="20"/>
        <v>658164.32126838306</v>
      </c>
      <c r="E72" s="120">
        <f t="shared" si="20"/>
        <v>2558623.5069944547</v>
      </c>
      <c r="F72" s="120">
        <f t="shared" si="20"/>
        <v>5611806.4390424676</v>
      </c>
      <c r="G72" s="120">
        <f t="shared" si="20"/>
        <v>5245571.5439950023</v>
      </c>
      <c r="H72" s="120">
        <f t="shared" si="20"/>
        <v>5390519.1723510362</v>
      </c>
      <c r="I72" s="120">
        <f t="shared" si="20"/>
        <v>6057624.9313920299</v>
      </c>
      <c r="J72" s="120">
        <f t="shared" si="20"/>
        <v>6361460.9572348809</v>
      </c>
      <c r="K72" s="120">
        <f t="shared" si="20"/>
        <v>6678729.2638351079</v>
      </c>
      <c r="L72" s="120">
        <f t="shared" si="20"/>
        <v>7010023.6786226351</v>
      </c>
      <c r="M72" s="120">
        <f t="shared" si="20"/>
        <v>7355964.2815322978</v>
      </c>
      <c r="N72" s="120">
        <f t="shared" si="20"/>
        <v>7229595.5775912981</v>
      </c>
      <c r="O72" s="120">
        <f t="shared" si="20"/>
        <v>8094402.6488694772</v>
      </c>
      <c r="P72" s="120">
        <f t="shared" si="20"/>
        <v>8488282.5398716033</v>
      </c>
      <c r="Q72" s="120">
        <f t="shared" si="20"/>
        <v>8899575.4590554535</v>
      </c>
      <c r="R72" s="120">
        <f t="shared" si="20"/>
        <v>9329051.2186338007</v>
      </c>
      <c r="S72" s="120">
        <f t="shared" si="20"/>
        <v>9777513.6634320468</v>
      </c>
      <c r="T72" s="120">
        <f t="shared" si="20"/>
        <v>9613694.7377589457</v>
      </c>
      <c r="U72" s="120">
        <f t="shared" si="20"/>
        <v>10734793.244850058</v>
      </c>
      <c r="V72" s="120">
        <f t="shared" si="20"/>
        <v>11245402.110620599</v>
      </c>
      <c r="W72" s="120">
        <f t="shared" si="20"/>
        <v>11778584.473471379</v>
      </c>
      <c r="X72" s="120">
        <f t="shared" si="20"/>
        <v>12335338.284680944</v>
      </c>
      <c r="Y72" s="120">
        <f t="shared" si="20"/>
        <v>12916705.613935839</v>
      </c>
      <c r="Z72" s="120">
        <f t="shared" si="20"/>
        <v>12704337.839544335</v>
      </c>
      <c r="AA72" s="120">
        <f t="shared" si="20"/>
        <v>14157681.486173272</v>
      </c>
      <c r="AB72" s="120">
        <f t="shared" si="20"/>
        <v>14819612.749381807</v>
      </c>
      <c r="AC72" s="120">
        <f t="shared" si="20"/>
        <v>15510807.318496341</v>
      </c>
      <c r="AD72" s="120">
        <f t="shared" si="20"/>
        <v>16232558.894419283</v>
      </c>
      <c r="AE72" s="120">
        <f t="shared" si="20"/>
        <v>16986218.371250223</v>
      </c>
      <c r="AF72" s="120">
        <f t="shared" si="20"/>
        <v>16710913.967838382</v>
      </c>
    </row>
    <row r="73" spans="1:32" ht="16.5" thickBot="1" x14ac:dyDescent="0.25">
      <c r="A73" s="289"/>
      <c r="B73" s="387">
        <f>B134</f>
        <v>0.5</v>
      </c>
      <c r="C73" s="387">
        <f t="shared" ref="C73:AF73" si="21">C134</f>
        <v>1.5</v>
      </c>
      <c r="D73" s="387">
        <f t="shared" si="21"/>
        <v>2.5</v>
      </c>
      <c r="E73" s="387">
        <f t="shared" si="21"/>
        <v>3.5</v>
      </c>
      <c r="F73" s="387">
        <f t="shared" si="21"/>
        <v>4.5</v>
      </c>
      <c r="G73" s="387">
        <f t="shared" si="21"/>
        <v>5.5</v>
      </c>
      <c r="H73" s="387">
        <f t="shared" si="21"/>
        <v>6.5</v>
      </c>
      <c r="I73" s="387">
        <f t="shared" si="21"/>
        <v>7.5</v>
      </c>
      <c r="J73" s="387">
        <f t="shared" si="21"/>
        <v>8.5</v>
      </c>
      <c r="K73" s="387">
        <f t="shared" si="21"/>
        <v>9.5</v>
      </c>
      <c r="L73" s="387">
        <f t="shared" si="21"/>
        <v>10.5</v>
      </c>
      <c r="M73" s="387">
        <f t="shared" si="21"/>
        <v>11.5</v>
      </c>
      <c r="N73" s="387">
        <f t="shared" si="21"/>
        <v>12.5</v>
      </c>
      <c r="O73" s="387">
        <f t="shared" si="21"/>
        <v>13.5</v>
      </c>
      <c r="P73" s="387">
        <f t="shared" si="21"/>
        <v>14.5</v>
      </c>
      <c r="Q73" s="387">
        <f t="shared" si="21"/>
        <v>15.5</v>
      </c>
      <c r="R73" s="387">
        <f t="shared" si="21"/>
        <v>16.5</v>
      </c>
      <c r="S73" s="387">
        <f t="shared" si="21"/>
        <v>17.5</v>
      </c>
      <c r="T73" s="387">
        <f t="shared" si="21"/>
        <v>18.5</v>
      </c>
      <c r="U73" s="387">
        <f t="shared" si="21"/>
        <v>19.5</v>
      </c>
      <c r="V73" s="387">
        <f t="shared" si="21"/>
        <v>20.5</v>
      </c>
      <c r="W73" s="387">
        <f t="shared" si="21"/>
        <v>21.5</v>
      </c>
      <c r="X73" s="387">
        <f t="shared" si="21"/>
        <v>22.5</v>
      </c>
      <c r="Y73" s="387">
        <f t="shared" si="21"/>
        <v>23.5</v>
      </c>
      <c r="Z73" s="387">
        <f t="shared" si="21"/>
        <v>24.5</v>
      </c>
      <c r="AA73" s="387">
        <f t="shared" si="21"/>
        <v>25.5</v>
      </c>
      <c r="AB73" s="387">
        <f t="shared" si="21"/>
        <v>26.5</v>
      </c>
      <c r="AC73" s="387">
        <f t="shared" si="21"/>
        <v>27.5</v>
      </c>
      <c r="AD73" s="387">
        <f t="shared" si="21"/>
        <v>28.5</v>
      </c>
      <c r="AE73" s="387">
        <f t="shared" si="21"/>
        <v>29.5</v>
      </c>
      <c r="AF73" s="387">
        <f t="shared" si="21"/>
        <v>30.5</v>
      </c>
    </row>
    <row r="74" spans="1:32" x14ac:dyDescent="0.2">
      <c r="A74" s="262" t="s">
        <v>223</v>
      </c>
      <c r="B74" s="118">
        <f t="shared" ref="B74:AF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row>
    <row r="75" spans="1:32" ht="28.5" x14ac:dyDescent="0.2">
      <c r="A75" s="268" t="s">
        <v>535</v>
      </c>
      <c r="B75" s="337">
        <f t="shared" ref="B75:AF75" si="23">B68</f>
        <v>14471327.76</v>
      </c>
      <c r="C75" s="337">
        <f t="shared" si="23"/>
        <v>0</v>
      </c>
      <c r="D75" s="337">
        <f>D68</f>
        <v>822705.4015854788</v>
      </c>
      <c r="E75" s="337">
        <f t="shared" si="23"/>
        <v>3198279.3837430682</v>
      </c>
      <c r="F75" s="337">
        <f t="shared" si="23"/>
        <v>7014758.0488030845</v>
      </c>
      <c r="G75" s="337">
        <f t="shared" si="23"/>
        <v>6556964.4299937533</v>
      </c>
      <c r="H75" s="337">
        <f t="shared" si="23"/>
        <v>6738148.9654387953</v>
      </c>
      <c r="I75" s="337">
        <f t="shared" si="23"/>
        <v>7572031.1642400371</v>
      </c>
      <c r="J75" s="337">
        <f t="shared" si="23"/>
        <v>7951826.1965436013</v>
      </c>
      <c r="K75" s="337">
        <f t="shared" si="23"/>
        <v>8348411.5797938844</v>
      </c>
      <c r="L75" s="337">
        <f t="shared" si="23"/>
        <v>8762529.5982782934</v>
      </c>
      <c r="M75" s="337">
        <f t="shared" si="23"/>
        <v>9194955.3519153725</v>
      </c>
      <c r="N75" s="337">
        <f t="shared" si="23"/>
        <v>9036994.4719891232</v>
      </c>
      <c r="O75" s="337">
        <f t="shared" si="23"/>
        <v>10118003.311086847</v>
      </c>
      <c r="P75" s="337">
        <f t="shared" si="23"/>
        <v>10610353.174839504</v>
      </c>
      <c r="Q75" s="337">
        <f t="shared" si="23"/>
        <v>11124469.323819317</v>
      </c>
      <c r="R75" s="337">
        <f t="shared" si="23"/>
        <v>11661314.023292251</v>
      </c>
      <c r="S75" s="337">
        <f t="shared" si="23"/>
        <v>12221892.079290058</v>
      </c>
      <c r="T75" s="337">
        <f t="shared" si="23"/>
        <v>12017118.422198683</v>
      </c>
      <c r="U75" s="337">
        <f t="shared" si="23"/>
        <v>13418491.556062572</v>
      </c>
      <c r="V75" s="337">
        <f t="shared" si="23"/>
        <v>14056752.63827575</v>
      </c>
      <c r="W75" s="337">
        <f t="shared" si="23"/>
        <v>14723230.591839224</v>
      </c>
      <c r="X75" s="337">
        <f t="shared" si="23"/>
        <v>15419172.855851179</v>
      </c>
      <c r="Y75" s="337">
        <f t="shared" si="23"/>
        <v>16145882.0174198</v>
      </c>
      <c r="Z75" s="337">
        <f t="shared" si="23"/>
        <v>15880422.299430419</v>
      </c>
      <c r="AA75" s="337">
        <f t="shared" si="23"/>
        <v>17697101.85771659</v>
      </c>
      <c r="AB75" s="337">
        <f t="shared" si="23"/>
        <v>18524515.936727259</v>
      </c>
      <c r="AC75" s="337">
        <f t="shared" si="23"/>
        <v>19388509.148120426</v>
      </c>
      <c r="AD75" s="337">
        <f t="shared" si="23"/>
        <v>20290698.618024103</v>
      </c>
      <c r="AE75" s="337">
        <f t="shared" si="23"/>
        <v>21232772.96406278</v>
      </c>
      <c r="AF75" s="337">
        <f t="shared" si="23"/>
        <v>20888642.459797978</v>
      </c>
    </row>
    <row r="76" spans="1:32" x14ac:dyDescent="0.2">
      <c r="A76" s="121" t="s">
        <v>222</v>
      </c>
      <c r="B76" s="336">
        <f t="shared" ref="B76:AF76" si="24">-B67</f>
        <v>0</v>
      </c>
      <c r="C76" s="336">
        <f>-C67</f>
        <v>0</v>
      </c>
      <c r="D76" s="336">
        <f t="shared" si="24"/>
        <v>1018871.2546666667</v>
      </c>
      <c r="E76" s="336">
        <f t="shared" si="24"/>
        <v>1018871.2546666667</v>
      </c>
      <c r="F76" s="336">
        <f>-C67</f>
        <v>0</v>
      </c>
      <c r="G76" s="336">
        <f t="shared" si="24"/>
        <v>1018871.2546666667</v>
      </c>
      <c r="H76" s="336">
        <f t="shared" si="24"/>
        <v>1018871.2546666667</v>
      </c>
      <c r="I76" s="336">
        <f t="shared" si="24"/>
        <v>1018871.2546666667</v>
      </c>
      <c r="J76" s="336">
        <f t="shared" si="24"/>
        <v>1018871.2546666667</v>
      </c>
      <c r="K76" s="336">
        <f t="shared" si="24"/>
        <v>1018871.2546666667</v>
      </c>
      <c r="L76" s="336">
        <f>-L67</f>
        <v>1018871.2546666667</v>
      </c>
      <c r="M76" s="336">
        <f>-M67</f>
        <v>1018871.2546666667</v>
      </c>
      <c r="N76" s="336">
        <f t="shared" si="24"/>
        <v>1018871.2546666667</v>
      </c>
      <c r="O76" s="336">
        <f t="shared" si="24"/>
        <v>1018871.2546666667</v>
      </c>
      <c r="P76" s="336">
        <f t="shared" si="24"/>
        <v>1018871.2546666667</v>
      </c>
      <c r="Q76" s="336">
        <f t="shared" si="24"/>
        <v>1018871.2546666667</v>
      </c>
      <c r="R76" s="336">
        <f t="shared" si="24"/>
        <v>1018871.2546666667</v>
      </c>
      <c r="S76" s="336">
        <f t="shared" si="24"/>
        <v>1018871.2546666667</v>
      </c>
      <c r="T76" s="336">
        <f t="shared" si="24"/>
        <v>1018871.2546666667</v>
      </c>
      <c r="U76" s="336">
        <f t="shared" si="24"/>
        <v>1018871.2546666667</v>
      </c>
      <c r="V76" s="336">
        <f t="shared" si="24"/>
        <v>1018871.2546666667</v>
      </c>
      <c r="W76" s="336">
        <f t="shared" si="24"/>
        <v>1018871.2546666667</v>
      </c>
      <c r="X76" s="336">
        <f t="shared" si="24"/>
        <v>1018871.2546666667</v>
      </c>
      <c r="Y76" s="336">
        <f t="shared" si="24"/>
        <v>1018871.2546666667</v>
      </c>
      <c r="Z76" s="336">
        <f t="shared" si="24"/>
        <v>1018871.2546666667</v>
      </c>
      <c r="AA76" s="336">
        <f t="shared" si="24"/>
        <v>1018871.2546666667</v>
      </c>
      <c r="AB76" s="336">
        <f t="shared" si="24"/>
        <v>1018871.2546666667</v>
      </c>
      <c r="AC76" s="336">
        <f t="shared" si="24"/>
        <v>1018871.2546666667</v>
      </c>
      <c r="AD76" s="336">
        <f t="shared" si="24"/>
        <v>1018871.2546666667</v>
      </c>
      <c r="AE76" s="336">
        <f t="shared" si="24"/>
        <v>1018871.2546666667</v>
      </c>
      <c r="AF76" s="336">
        <f t="shared" si="24"/>
        <v>1018871.2546666667</v>
      </c>
    </row>
    <row r="77" spans="1:32" x14ac:dyDescent="0.2">
      <c r="A77" s="121" t="s">
        <v>221</v>
      </c>
      <c r="B77" s="336">
        <f t="shared" ref="B77:AF77" si="25">B69</f>
        <v>0</v>
      </c>
      <c r="C77" s="336">
        <f t="shared" si="25"/>
        <v>0</v>
      </c>
      <c r="D77" s="336">
        <f t="shared" si="25"/>
        <v>0</v>
      </c>
      <c r="E77" s="336">
        <f t="shared" si="25"/>
        <v>0</v>
      </c>
      <c r="F77" s="336">
        <f t="shared" si="25"/>
        <v>0</v>
      </c>
      <c r="G77" s="336">
        <f t="shared" si="25"/>
        <v>0</v>
      </c>
      <c r="H77" s="336">
        <f t="shared" si="25"/>
        <v>0</v>
      </c>
      <c r="I77" s="336">
        <f t="shared" si="25"/>
        <v>0</v>
      </c>
      <c r="J77" s="336">
        <f t="shared" si="25"/>
        <v>0</v>
      </c>
      <c r="K77" s="336">
        <f t="shared" si="25"/>
        <v>0</v>
      </c>
      <c r="L77" s="336">
        <f t="shared" si="25"/>
        <v>0</v>
      </c>
      <c r="M77" s="336">
        <f t="shared" si="25"/>
        <v>0</v>
      </c>
      <c r="N77" s="336">
        <f t="shared" si="25"/>
        <v>0</v>
      </c>
      <c r="O77" s="336">
        <f t="shared" si="25"/>
        <v>0</v>
      </c>
      <c r="P77" s="336">
        <f t="shared" si="25"/>
        <v>0</v>
      </c>
      <c r="Q77" s="336">
        <f t="shared" si="25"/>
        <v>0</v>
      </c>
      <c r="R77" s="336">
        <f t="shared" si="25"/>
        <v>0</v>
      </c>
      <c r="S77" s="336">
        <f t="shared" si="25"/>
        <v>0</v>
      </c>
      <c r="T77" s="336">
        <f t="shared" si="25"/>
        <v>0</v>
      </c>
      <c r="U77" s="336">
        <f t="shared" si="25"/>
        <v>0</v>
      </c>
      <c r="V77" s="336">
        <f t="shared" si="25"/>
        <v>0</v>
      </c>
      <c r="W77" s="336">
        <f t="shared" si="25"/>
        <v>0</v>
      </c>
      <c r="X77" s="336">
        <f t="shared" si="25"/>
        <v>0</v>
      </c>
      <c r="Y77" s="336">
        <f t="shared" si="25"/>
        <v>0</v>
      </c>
      <c r="Z77" s="336">
        <f t="shared" si="25"/>
        <v>0</v>
      </c>
      <c r="AA77" s="336">
        <f t="shared" si="25"/>
        <v>0</v>
      </c>
      <c r="AB77" s="336">
        <f t="shared" si="25"/>
        <v>0</v>
      </c>
      <c r="AC77" s="336">
        <f t="shared" si="25"/>
        <v>0</v>
      </c>
      <c r="AD77" s="336">
        <f t="shared" si="25"/>
        <v>0</v>
      </c>
      <c r="AE77" s="336">
        <f t="shared" si="25"/>
        <v>0</v>
      </c>
      <c r="AF77" s="336">
        <f t="shared" si="25"/>
        <v>0</v>
      </c>
    </row>
    <row r="78" spans="1:32" x14ac:dyDescent="0.2">
      <c r="A78" s="121" t="s">
        <v>220</v>
      </c>
      <c r="B78" s="336">
        <f>IF(SUM($B$71:B71)+SUM($A$78:A78)&gt;0,0,SUM($B$71:B71)-SUM($A$78:A78))</f>
        <v>-2894265.5520000001</v>
      </c>
      <c r="C78" s="336">
        <f>IF(SUM($B$71:C71)+SUM($A$78:B78)&gt;0,0,SUM($B$71:C71)-SUM($A$78:B78))</f>
        <v>0</v>
      </c>
      <c r="D78" s="336">
        <f>IF(SUM($B$71:D71)+SUM($A$78:C78)&gt;0,0,SUM($B$71:D71)-SUM($A$78:C78))</f>
        <v>-164541.08031709585</v>
      </c>
      <c r="E78" s="336">
        <f>IF(SUM($B$71:E71)+SUM($A$78:D78)&gt;0,0,SUM($B$71:E71)-SUM($A$78:D78))</f>
        <v>-639655.87674861355</v>
      </c>
      <c r="F78" s="336">
        <f>IF(SUM($B$71:F71)+SUM($A$78:E78)&gt;0,0,SUM($B$71:F71)-SUM($A$78:E78))</f>
        <v>-1402951.6097606164</v>
      </c>
      <c r="G78" s="336">
        <f>IF(SUM($B$71:G71)+SUM($A$78:F78)&gt;0,0,SUM($B$71:G71)-SUM($A$78:F78))</f>
        <v>-1311392.885998751</v>
      </c>
      <c r="H78" s="336">
        <f>IF(SUM($B$71:H71)+SUM($A$78:G78)&gt;0,0,SUM($B$71:H71)-SUM($A$78:G78))</f>
        <v>-1347629.7930877591</v>
      </c>
      <c r="I78" s="336">
        <f>IF(SUM($B$71:I71)+SUM($A$78:H78)&gt;0,0,SUM($B$71:I71)-SUM($A$78:H78))</f>
        <v>-1514406.2328480072</v>
      </c>
      <c r="J78" s="336">
        <f>IF(SUM($B$71:J71)+SUM($A$78:I78)&gt;0,0,SUM($B$71:J71)-SUM($A$78:I78))</f>
        <v>-1590365.2393087205</v>
      </c>
      <c r="K78" s="336">
        <f>IF(SUM($B$71:K71)+SUM($A$78:J78)&gt;0,0,SUM($B$71:K71)-SUM($A$78:J78))</f>
        <v>-1669682.3159587774</v>
      </c>
      <c r="L78" s="336">
        <f>IF(SUM($B$71:L71)+SUM($A$78:K78)&gt;0,0,SUM($B$71:L71)-SUM($A$78:K78))</f>
        <v>-1752505.9196556583</v>
      </c>
      <c r="M78" s="336">
        <f>IF(SUM($B$71:M71)+SUM($A$78:L78)&gt;0,0,SUM($B$71:M71)-SUM($A$78:L78))</f>
        <v>-1838991.0703830756</v>
      </c>
      <c r="N78" s="336">
        <f>IF(SUM($B$71:N71)+SUM($A$78:M78)&gt;0,0,SUM($B$71:N71)-SUM($A$78:M78))</f>
        <v>-1807398.894397825</v>
      </c>
      <c r="O78" s="336">
        <f>IF(SUM($B$71:O71)+SUM($A$78:N78)&gt;0,0,SUM($B$71:O71)-SUM($A$78:N78))</f>
        <v>-2023600.6622173712</v>
      </c>
      <c r="P78" s="336">
        <f>IF(SUM($B$71:P71)+SUM($A$78:O78)&gt;0,0,SUM($B$71:P71)-SUM($A$78:O78))</f>
        <v>-2122070.6349679008</v>
      </c>
      <c r="Q78" s="336">
        <f>IF(SUM($B$71:Q71)+SUM($A$78:P78)&gt;0,0,SUM($B$71:Q71)-SUM($A$78:P78))</f>
        <v>-2224893.8647638634</v>
      </c>
      <c r="R78" s="336">
        <f>IF(SUM($B$71:R71)+SUM($A$78:Q78)&gt;0,0,SUM($B$71:R71)-SUM($A$78:Q78))</f>
        <v>-2332262.8046584502</v>
      </c>
      <c r="S78" s="336">
        <f>IF(SUM($B$71:S71)+SUM($A$78:R78)&gt;0,0,SUM($B$71:S71)-SUM($A$78:R78))</f>
        <v>-2444378.4158580117</v>
      </c>
      <c r="T78" s="336">
        <f>IF(SUM($B$71:T71)+SUM($A$78:S78)&gt;0,0,SUM($B$71:T71)-SUM($A$78:S78))</f>
        <v>-2403423.6844397373</v>
      </c>
      <c r="U78" s="336">
        <f>IF(SUM($B$71:U71)+SUM($A$78:T78)&gt;0,0,SUM($B$71:U71)-SUM($A$78:T78))</f>
        <v>-2683698.3112125173</v>
      </c>
      <c r="V78" s="336">
        <f>IF(SUM($B$71:V71)+SUM($A$78:U78)&gt;0,0,SUM($B$71:V71)-SUM($A$78:U78))</f>
        <v>-2811350.527655147</v>
      </c>
      <c r="W78" s="336">
        <f>IF(SUM($B$71:W71)+SUM($A$78:V78)&gt;0,0,SUM($B$71:W71)-SUM($A$78:V78))</f>
        <v>-2944646.1183678433</v>
      </c>
      <c r="X78" s="336">
        <f>IF(SUM($B$71:X71)+SUM($A$78:W78)&gt;0,0,SUM($B$71:X71)-SUM($A$78:W78))</f>
        <v>-3083834.5711702332</v>
      </c>
      <c r="Y78" s="336">
        <f>IF(SUM($B$71:Y71)+SUM($A$78:X78)&gt;0,0,SUM($B$71:Y71)-SUM($A$78:X78))</f>
        <v>-3229176.4034839571</v>
      </c>
      <c r="Z78" s="336">
        <f>IF(SUM($B$71:Z71)+SUM($A$78:Y78)&gt;0,0,SUM($B$71:Z71)-SUM($A$78:Y78))</f>
        <v>-3176084.4598860815</v>
      </c>
      <c r="AA78" s="336">
        <f>IF(SUM($B$71:AA71)+SUM($A$78:Z78)&gt;0,0,SUM($B$71:AA71)-SUM($A$78:Z78))</f>
        <v>-3539420.371543318</v>
      </c>
      <c r="AB78" s="336">
        <f>IF(SUM($B$71:AB71)+SUM($A$78:AA78)&gt;0,0,SUM($B$71:AB71)-SUM($A$78:AA78))</f>
        <v>-3704903.1873454526</v>
      </c>
      <c r="AC78" s="336">
        <f>IF(SUM($B$71:AC71)+SUM($A$78:AB78)&gt;0,0,SUM($B$71:AC71)-SUM($A$78:AB78))</f>
        <v>-3877701.8296240866</v>
      </c>
      <c r="AD78" s="336">
        <f>IF(SUM($B$71:AD71)+SUM($A$78:AC78)&gt;0,0,SUM($B$71:AD71)-SUM($A$78:AC78))</f>
        <v>-4058139.7236048207</v>
      </c>
      <c r="AE78" s="336">
        <f>IF(SUM($B$71:AE71)+SUM($A$78:AD78)&gt;0,0,SUM($B$71:AE71)-SUM($A$78:AD78))</f>
        <v>-4246554.5928125605</v>
      </c>
      <c r="AF78" s="336">
        <f>IF(SUM($B$71:AF71)+SUM($A$78:AE78)&gt;0,0,SUM($B$71:AF71)-SUM($A$78:AE78))</f>
        <v>-4177728.4919596016</v>
      </c>
    </row>
    <row r="79" spans="1:32" x14ac:dyDescent="0.2">
      <c r="A79" s="121" t="s">
        <v>219</v>
      </c>
      <c r="B79" s="336">
        <f>IF(((SUM($B$59:B59)+SUM($B$61:B64))+SUM($B$81:B81))&lt;0,((SUM($B$59:B59)+SUM($B$61:B64))+SUM($B$81:B81))*0.2-SUM($A$79:A79),IF(SUM(A$79:$B79)&lt;0,0-SUM(A$79:$B79),0))</f>
        <v>-2378471.378</v>
      </c>
      <c r="C79" s="336">
        <f>IF(((SUM($B$59:C59)+SUM($B$61:C64))+SUM($B$81:C81))&lt;0,((SUM($B$59:C59)+SUM($B$61:C64))+SUM($B$81:C81))*0.2-SUM($A$79:B79),IF(SUM($B$79:B79)&lt;0,0-SUM($B$79:B79),0))</f>
        <v>-840490.59800000023</v>
      </c>
      <c r="D79" s="336">
        <f>IF(((SUM($B$59:D59)+SUM($B$61:D64))+SUM($B$81:D81))&lt;0,((SUM($B$59:D59)+SUM($B$61:D64))+SUM($B$81:D81))*0.2-SUM($A$79:C79),IF(SUM($B$79:C79)&lt;0,0-SUM($B$79:C79),0))</f>
        <v>368315.33125042915</v>
      </c>
      <c r="E79" s="336">
        <f>IF(((SUM($B$59:E59)+SUM($B$61:E64))+SUM($B$81:E81))&lt;0,((SUM($B$59:E59)+SUM($B$61:E64))+SUM($B$81:E81))*0.2-SUM($A$79:D79),IF(SUM($B$79:D79)&lt;0,0-SUM($B$79:D79),0))</f>
        <v>843430.12768194708</v>
      </c>
      <c r="F79" s="336">
        <f>IF(((SUM($B$59:F59)+SUM($B$61:F64))+SUM($B$81:F81))&lt;0,((SUM($B$59:F59)+SUM($B$61:F64))+SUM($B$81:F81))*0.2-SUM($A$79:E79),IF(SUM($B$79:E79)&lt;0,0-SUM($B$79:E79),0))</f>
        <v>1402951.6097606169</v>
      </c>
      <c r="G79" s="336">
        <f>IF(((SUM($B$59:G59)+SUM($B$61:G64))+SUM($B$81:G81))&lt;0,((SUM($B$59:G59)+SUM($B$61:G64))+SUM($B$81:G81))*0.2-SUM($A$79:F79),IF(SUM($B$79:F79)&lt;0,0-SUM($B$79:F79),0))</f>
        <v>604264.90730700712</v>
      </c>
      <c r="H79" s="336">
        <f>IF(((SUM($B$59:H59)+SUM($B$61:H64))+SUM($B$81:H81))&lt;0,((SUM($B$59:H59)+SUM($B$61:H64))+SUM($B$81:H81))*0.2-SUM($A$79:G79),IF(SUM($B$79:G79)&lt;0,0-SUM($B$79:G79),0))</f>
        <v>0</v>
      </c>
      <c r="I79" s="336">
        <f>IF(((SUM($B$59:I59)+SUM($B$61:I64))+SUM($B$81:I81))&lt;0,((SUM($B$59:I59)+SUM($B$61:I64))+SUM($B$81:I81))*0.2-SUM($A$79:H79),IF(SUM($B$79:H79)&lt;0,0-SUM($B$79:H79),0))</f>
        <v>0</v>
      </c>
      <c r="J79" s="336">
        <f>IF(((SUM($B$59:J59)+SUM($B$61:J64))+SUM($B$81:J81))&lt;0,((SUM($B$59:J59)+SUM($B$61:J64))+SUM($B$81:J81))*0.2-SUM($A$79:I79),IF(SUM($B$79:I79)&lt;0,0-SUM($B$79:I79),0))</f>
        <v>0</v>
      </c>
      <c r="K79" s="336">
        <f>IF(((SUM($B$59:K59)+SUM($B$61:K64))+SUM($B$81:K81))&lt;0,((SUM($B$59:K59)+SUM($B$61:K64))+SUM($B$81:K81))*0.2-SUM($A$79:J79),IF(SUM($B$79:J79)&lt;0,0-SUM($B$79:J79),0))</f>
        <v>0</v>
      </c>
      <c r="L79" s="336">
        <f>IF(((SUM($B$59:L59)+SUM($B$61:L64))+SUM($B$81:L81))&lt;0,((SUM($B$59:L59)+SUM($B$61:L64))+SUM($B$81:L81))*0.2-SUM($A$79:K79),IF(SUM($B$79:K79)&lt;0,0-SUM($B$79:K79),0))</f>
        <v>0</v>
      </c>
      <c r="M79" s="336">
        <f>IF(((SUM($B$59:M59)+SUM($B$61:M64))+SUM($B$81:M81))&lt;0,((SUM($B$59:M59)+SUM($B$61:M64))+SUM($B$81:M81))*0.2-SUM($A$79:L79),IF(SUM($B$79:L79)&lt;0,0-SUM($B$79:L79),0))</f>
        <v>0</v>
      </c>
      <c r="N79" s="336">
        <f>IF(((SUM($B$59:N59)+SUM($B$61:N64))+SUM($B$81:N81))&lt;0,((SUM($B$59:N59)+SUM($B$61:N64))+SUM($B$81:N81))*0.2-SUM($A$79:M79),IF(SUM($B$79:M79)&lt;0,0-SUM($B$79:M79),0))</f>
        <v>0</v>
      </c>
      <c r="O79" s="336">
        <f>IF(((SUM($B$59:O59)+SUM($B$61:O64))+SUM($B$81:O81))&lt;0,((SUM($B$59:O59)+SUM($B$61:O64))+SUM($B$81:O81))*0.2-SUM($A$79:N79),IF(SUM($B$79:N79)&lt;0,0-SUM($B$79:N79),0))</f>
        <v>0</v>
      </c>
      <c r="P79" s="336">
        <f>IF(((SUM($B$59:P59)+SUM($B$61:P64))+SUM($B$81:P81))&lt;0,((SUM($B$59:P59)+SUM($B$61:P64))+SUM($B$81:P81))*0.2-SUM($A$79:O79),IF(SUM($B$79:O79)&lt;0,0-SUM($B$79:O79),0))</f>
        <v>0</v>
      </c>
      <c r="Q79" s="336">
        <f>IF(((SUM($B$59:Q59)+SUM($B$61:Q64))+SUM($B$81:Q81))&lt;0,((SUM($B$59:Q59)+SUM($B$61:Q64))+SUM($B$81:Q81))*0.2-SUM($A$79:P79),IF(SUM($B$79:P79)&lt;0,0-SUM($B$79:P79),0))</f>
        <v>0</v>
      </c>
      <c r="R79" s="336">
        <f>IF(((SUM($B$59:R59)+SUM($B$61:R64))+SUM($B$81:R81))&lt;0,((SUM($B$59:R59)+SUM($B$61:R64))+SUM($B$81:R81))*0.2-SUM($A$79:Q79),IF(SUM($B$79:Q79)&lt;0,0-SUM($B$79:Q79),0))</f>
        <v>0</v>
      </c>
      <c r="S79" s="336">
        <f>IF(((SUM($B$59:S59)+SUM($B$61:S64))+SUM($B$81:S81))&lt;0,((SUM($B$59:S59)+SUM($B$61:S64))+SUM($B$81:S81))*0.2-SUM($A$79:R79),IF(SUM($B$79:R79)&lt;0,0-SUM($B$79:R79),0))</f>
        <v>0</v>
      </c>
      <c r="T79" s="336">
        <f>IF(((SUM($B$59:T59)+SUM($B$61:T64))+SUM($B$81:T81))&lt;0,((SUM($B$59:T59)+SUM($B$61:T64))+SUM($B$81:T81))*0.2-SUM($A$79:S79),IF(SUM($B$79:S79)&lt;0,0-SUM($B$79:S79),0))</f>
        <v>0</v>
      </c>
      <c r="U79" s="336">
        <f>IF(((SUM($B$59:U59)+SUM($B$61:U64))+SUM($B$81:U81))&lt;0,((SUM($B$59:U59)+SUM($B$61:U64))+SUM($B$81:U81))*0.2-SUM($A$79:T79),IF(SUM($B$79:T79)&lt;0,0-SUM($B$79:T79),0))</f>
        <v>0</v>
      </c>
      <c r="V79" s="336">
        <f>IF(((SUM($B$59:V59)+SUM($B$61:V64))+SUM($B$81:V81))&lt;0,((SUM($B$59:V59)+SUM($B$61:V64))+SUM($B$81:V81))*0.2-SUM($A$79:U79),IF(SUM($B$79:U79)&lt;0,0-SUM($B$79:U79),0))</f>
        <v>0</v>
      </c>
      <c r="W79" s="336">
        <f>IF(((SUM($B$59:W59)+SUM($B$61:W64))+SUM($B$81:W81))&lt;0,((SUM($B$59:W59)+SUM($B$61:W64))+SUM($B$81:W81))*0.2-SUM($A$79:V79),IF(SUM($B$79:V79)&lt;0,0-SUM($B$79:V79),0))</f>
        <v>0</v>
      </c>
      <c r="X79" s="336">
        <f>IF(((SUM($B$59:X59)+SUM($B$61:X64))+SUM($B$81:X81))&lt;0,((SUM($B$59:X59)+SUM($B$61:X64))+SUM($B$81:X81))*0.2-SUM($A$79:W79),IF(SUM($B$79:W79)&lt;0,0-SUM($B$79:W79),0))</f>
        <v>0</v>
      </c>
      <c r="Y79" s="336">
        <f>IF(((SUM($B$59:Y59)+SUM($B$61:Y64))+SUM($B$81:Y81))&lt;0,((SUM($B$59:Y59)+SUM($B$61:Y64))+SUM($B$81:Y81))*0.2-SUM($A$79:X79),IF(SUM($B$79:X79)&lt;0,0-SUM($B$79:X79),0))</f>
        <v>0</v>
      </c>
      <c r="Z79" s="336">
        <f>IF(((SUM($B$59:Z59)+SUM($B$61:Z64))+SUM($B$81:Z81))&lt;0,((SUM($B$59:Z59)+SUM($B$61:Z64))+SUM($B$81:Z81))*0.2-SUM($A$79:Y79),IF(SUM($B$79:Y79)&lt;0,0-SUM($B$79:Y79),0))</f>
        <v>0</v>
      </c>
      <c r="AA79" s="336">
        <f>IF(((SUM($B$59:AA59)+SUM($B$61:AA64))+SUM($B$81:AA81))&lt;0,((SUM($B$59:AA59)+SUM($B$61:AA64))+SUM($B$81:AA81))*0.2-SUM($A$79:Z79),IF(SUM($B$79:Z79)&lt;0,0-SUM($B$79:Z79),0))</f>
        <v>0</v>
      </c>
      <c r="AB79" s="336">
        <f>IF(((SUM($B$59:AB59)+SUM($B$61:AB64))+SUM($B$81:AB81))&lt;0,((SUM($B$59:AB59)+SUM($B$61:AB64))+SUM($B$81:AB81))*0.2-SUM($A$79:AA79),IF(SUM($B$79:AA79)&lt;0,0-SUM($B$79:AA79),0))</f>
        <v>0</v>
      </c>
      <c r="AC79" s="336">
        <f>IF(((SUM($B$59:AC59)+SUM($B$61:AC64))+SUM($B$81:AC81))&lt;0,((SUM($B$59:AC59)+SUM($B$61:AC64))+SUM($B$81:AC81))*0.2-SUM($A$79:AB79),IF(SUM($B$79:AB79)&lt;0,0-SUM($B$79:AB79),0))</f>
        <v>0</v>
      </c>
      <c r="AD79" s="336">
        <f>IF(((SUM($B$59:AD59)+SUM($B$61:AD64))+SUM($B$81:AD81))&lt;0,((SUM($B$59:AD59)+SUM($B$61:AD64))+SUM($B$81:AD81))*0.2-SUM($A$79:AC79),IF(SUM($B$79:AC79)&lt;0,0-SUM($B$79:AC79),0))</f>
        <v>0</v>
      </c>
      <c r="AE79" s="336">
        <f>IF(((SUM($B$59:AE59)+SUM($B$61:AE64))+SUM($B$81:AE81))&lt;0,((SUM($B$59:AE59)+SUM($B$61:AE64))+SUM($B$81:AE81))*0.2-SUM($A$79:AD79),IF(SUM($B$79:AD79)&lt;0,0-SUM($B$79:AD79),0))</f>
        <v>0</v>
      </c>
      <c r="AF79" s="336">
        <f>IF(((SUM($B$59:AF59)+SUM($B$61:AF64))+SUM($B$81:AF81))&lt;0,((SUM($B$59:AF59)+SUM($B$61:AF64))+SUM($B$81:AF81))*0.2-SUM($A$79:AE79),IF(SUM($B$79:AE79)&lt;0,0-SUM($B$79:AE79),0))</f>
        <v>0</v>
      </c>
    </row>
    <row r="80" spans="1:32" x14ac:dyDescent="0.2">
      <c r="A80" s="121" t="s">
        <v>218</v>
      </c>
      <c r="B80" s="336">
        <f>-B59*(B39)</f>
        <v>0</v>
      </c>
      <c r="C80" s="336">
        <f t="shared" ref="C80:AF80" si="26">-(C59-B59)*$B$39</f>
        <v>0</v>
      </c>
      <c r="D80" s="336">
        <f t="shared" si="26"/>
        <v>0</v>
      </c>
      <c r="E80" s="336">
        <f t="shared" si="26"/>
        <v>0</v>
      </c>
      <c r="F80" s="336">
        <f t="shared" si="26"/>
        <v>0</v>
      </c>
      <c r="G80" s="336">
        <f t="shared" si="26"/>
        <v>0</v>
      </c>
      <c r="H80" s="336">
        <f t="shared" si="26"/>
        <v>0</v>
      </c>
      <c r="I80" s="336">
        <f t="shared" si="26"/>
        <v>0</v>
      </c>
      <c r="J80" s="336">
        <f t="shared" si="26"/>
        <v>0</v>
      </c>
      <c r="K80" s="336">
        <f t="shared" si="26"/>
        <v>0</v>
      </c>
      <c r="L80" s="336">
        <f t="shared" si="26"/>
        <v>0</v>
      </c>
      <c r="M80" s="336">
        <f t="shared" si="26"/>
        <v>0</v>
      </c>
      <c r="N80" s="336">
        <f t="shared" si="26"/>
        <v>0</v>
      </c>
      <c r="O80" s="336">
        <f t="shared" si="26"/>
        <v>0</v>
      </c>
      <c r="P80" s="336">
        <f t="shared" si="26"/>
        <v>0</v>
      </c>
      <c r="Q80" s="336">
        <f t="shared" si="26"/>
        <v>0</v>
      </c>
      <c r="R80" s="336">
        <f t="shared" si="26"/>
        <v>0</v>
      </c>
      <c r="S80" s="336">
        <f t="shared" si="26"/>
        <v>0</v>
      </c>
      <c r="T80" s="336">
        <f t="shared" si="26"/>
        <v>0</v>
      </c>
      <c r="U80" s="336">
        <f t="shared" si="26"/>
        <v>0</v>
      </c>
      <c r="V80" s="336">
        <f t="shared" si="26"/>
        <v>0</v>
      </c>
      <c r="W80" s="336">
        <f t="shared" si="26"/>
        <v>0</v>
      </c>
      <c r="X80" s="336">
        <f t="shared" si="26"/>
        <v>0</v>
      </c>
      <c r="Y80" s="336">
        <f t="shared" si="26"/>
        <v>0</v>
      </c>
      <c r="Z80" s="336">
        <f t="shared" si="26"/>
        <v>0</v>
      </c>
      <c r="AA80" s="336">
        <f t="shared" si="26"/>
        <v>0</v>
      </c>
      <c r="AB80" s="336">
        <f t="shared" si="26"/>
        <v>0</v>
      </c>
      <c r="AC80" s="336">
        <f t="shared" si="26"/>
        <v>0</v>
      </c>
      <c r="AD80" s="336">
        <f t="shared" si="26"/>
        <v>0</v>
      </c>
      <c r="AE80" s="336">
        <f t="shared" si="26"/>
        <v>0</v>
      </c>
      <c r="AF80" s="336">
        <f t="shared" si="26"/>
        <v>0</v>
      </c>
    </row>
    <row r="81" spans="1:32" x14ac:dyDescent="0.2">
      <c r="A81" s="121" t="s">
        <v>630</v>
      </c>
      <c r="B81" s="336">
        <f>'6.2. Паспорт фин осв ввод'!G30*-1*1000000</f>
        <v>-26363684.649999999</v>
      </c>
      <c r="C81" s="336">
        <f>'6.2. Паспорт фин осв ввод'!H30*-1*1000000</f>
        <v>-4202452.9900000012</v>
      </c>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row>
    <row r="82" spans="1:32" x14ac:dyDescent="0.2">
      <c r="A82" s="121" t="s">
        <v>217</v>
      </c>
      <c r="B82" s="336">
        <f t="shared" ref="B82:AF82" si="27">B54-B55</f>
        <v>0</v>
      </c>
      <c r="C82" s="336">
        <f t="shared" si="27"/>
        <v>0</v>
      </c>
      <c r="D82" s="336">
        <f t="shared" si="27"/>
        <v>0</v>
      </c>
      <c r="E82" s="336">
        <f t="shared" si="27"/>
        <v>0</v>
      </c>
      <c r="F82" s="336">
        <f t="shared" si="27"/>
        <v>0</v>
      </c>
      <c r="G82" s="336">
        <f t="shared" si="27"/>
        <v>0</v>
      </c>
      <c r="H82" s="336">
        <f t="shared" si="27"/>
        <v>0</v>
      </c>
      <c r="I82" s="336">
        <f t="shared" si="27"/>
        <v>0</v>
      </c>
      <c r="J82" s="336">
        <f t="shared" si="27"/>
        <v>0</v>
      </c>
      <c r="K82" s="336">
        <f t="shared" si="27"/>
        <v>0</v>
      </c>
      <c r="L82" s="336">
        <f t="shared" si="27"/>
        <v>0</v>
      </c>
      <c r="M82" s="336">
        <f t="shared" si="27"/>
        <v>0</v>
      </c>
      <c r="N82" s="336">
        <f t="shared" si="27"/>
        <v>0</v>
      </c>
      <c r="O82" s="336">
        <f t="shared" si="27"/>
        <v>0</v>
      </c>
      <c r="P82" s="336">
        <f t="shared" si="27"/>
        <v>0</v>
      </c>
      <c r="Q82" s="336">
        <f t="shared" si="27"/>
        <v>0</v>
      </c>
      <c r="R82" s="336">
        <f t="shared" si="27"/>
        <v>0</v>
      </c>
      <c r="S82" s="336">
        <f t="shared" si="27"/>
        <v>0</v>
      </c>
      <c r="T82" s="336">
        <f t="shared" si="27"/>
        <v>0</v>
      </c>
      <c r="U82" s="336">
        <f t="shared" si="27"/>
        <v>0</v>
      </c>
      <c r="V82" s="336">
        <f t="shared" si="27"/>
        <v>0</v>
      </c>
      <c r="W82" s="336">
        <f t="shared" si="27"/>
        <v>0</v>
      </c>
      <c r="X82" s="336">
        <f t="shared" si="27"/>
        <v>0</v>
      </c>
      <c r="Y82" s="336">
        <f t="shared" si="27"/>
        <v>0</v>
      </c>
      <c r="Z82" s="336">
        <f t="shared" si="27"/>
        <v>0</v>
      </c>
      <c r="AA82" s="336">
        <f t="shared" si="27"/>
        <v>0</v>
      </c>
      <c r="AB82" s="336">
        <f t="shared" si="27"/>
        <v>0</v>
      </c>
      <c r="AC82" s="336">
        <f t="shared" si="27"/>
        <v>0</v>
      </c>
      <c r="AD82" s="336">
        <f t="shared" si="27"/>
        <v>0</v>
      </c>
      <c r="AE82" s="336">
        <f t="shared" si="27"/>
        <v>0</v>
      </c>
      <c r="AF82" s="336">
        <f t="shared" si="27"/>
        <v>0</v>
      </c>
    </row>
    <row r="83" spans="1:32" ht="14.25" x14ac:dyDescent="0.2">
      <c r="A83" s="269" t="s">
        <v>216</v>
      </c>
      <c r="B83" s="337">
        <f>SUM(B75:B82)</f>
        <v>-17165093.82</v>
      </c>
      <c r="C83" s="337">
        <f t="shared" ref="C83:V83" si="28">SUM(C75:C82)</f>
        <v>-5042943.5880000014</v>
      </c>
      <c r="D83" s="337">
        <f t="shared" si="28"/>
        <v>2045350.9071854788</v>
      </c>
      <c r="E83" s="337">
        <f t="shared" si="28"/>
        <v>4420924.889343068</v>
      </c>
      <c r="F83" s="337">
        <f t="shared" si="28"/>
        <v>7014758.0488030845</v>
      </c>
      <c r="G83" s="337">
        <f t="shared" si="28"/>
        <v>6868707.7059686761</v>
      </c>
      <c r="H83" s="337">
        <f t="shared" si="28"/>
        <v>6409390.4270177027</v>
      </c>
      <c r="I83" s="337">
        <f t="shared" si="28"/>
        <v>7076496.1860586964</v>
      </c>
      <c r="J83" s="337">
        <f t="shared" si="28"/>
        <v>7380332.2119015474</v>
      </c>
      <c r="K83" s="337">
        <f t="shared" si="28"/>
        <v>7697600.5185017735</v>
      </c>
      <c r="L83" s="337">
        <f t="shared" si="28"/>
        <v>8028894.9332893025</v>
      </c>
      <c r="M83" s="337">
        <f t="shared" si="28"/>
        <v>8374835.5361989643</v>
      </c>
      <c r="N83" s="337">
        <f t="shared" si="28"/>
        <v>8248466.8322579656</v>
      </c>
      <c r="O83" s="337">
        <f t="shared" si="28"/>
        <v>9113273.9035361428</v>
      </c>
      <c r="P83" s="337">
        <f t="shared" si="28"/>
        <v>9507153.7945382707</v>
      </c>
      <c r="Q83" s="337">
        <f t="shared" si="28"/>
        <v>9918446.713722121</v>
      </c>
      <c r="R83" s="337">
        <f t="shared" si="28"/>
        <v>10347922.473300468</v>
      </c>
      <c r="S83" s="337">
        <f t="shared" si="28"/>
        <v>10796384.918098714</v>
      </c>
      <c r="T83" s="337">
        <f t="shared" si="28"/>
        <v>10632565.992425613</v>
      </c>
      <c r="U83" s="337">
        <f t="shared" si="28"/>
        <v>11753664.499516722</v>
      </c>
      <c r="V83" s="337">
        <f t="shared" si="28"/>
        <v>12264273.36528727</v>
      </c>
      <c r="W83" s="337">
        <f>SUM(W75:W82)</f>
        <v>12797455.728138048</v>
      </c>
      <c r="X83" s="337">
        <f>SUM(X75:X82)</f>
        <v>13354209.539347613</v>
      </c>
      <c r="Y83" s="337">
        <f>SUM(Y75:Y82)</f>
        <v>13935576.868602511</v>
      </c>
      <c r="Z83" s="337">
        <f>SUM(Z75:Z82)</f>
        <v>13723209.094211005</v>
      </c>
      <c r="AA83" s="337">
        <f t="shared" ref="AA83:AF83" si="29">SUM(AA75:AA82)</f>
        <v>15176552.74083994</v>
      </c>
      <c r="AB83" s="337">
        <f t="shared" si="29"/>
        <v>15838484.004048474</v>
      </c>
      <c r="AC83" s="337">
        <f t="shared" si="29"/>
        <v>16529678.573163006</v>
      </c>
      <c r="AD83" s="337">
        <f t="shared" si="29"/>
        <v>17251430.14908595</v>
      </c>
      <c r="AE83" s="337">
        <f t="shared" si="29"/>
        <v>18005089.625916887</v>
      </c>
      <c r="AF83" s="337">
        <f t="shared" si="29"/>
        <v>17729785.222505044</v>
      </c>
    </row>
    <row r="84" spans="1:32" ht="14.25" x14ac:dyDescent="0.2">
      <c r="A84" s="269" t="s">
        <v>536</v>
      </c>
      <c r="B84" s="337">
        <f>SUM($B$83:B83)</f>
        <v>-17165093.82</v>
      </c>
      <c r="C84" s="337">
        <f>SUM($B$83:C83)</f>
        <v>-22208037.408</v>
      </c>
      <c r="D84" s="337">
        <f>SUM($B$83:D83)</f>
        <v>-20162686.50081452</v>
      </c>
      <c r="E84" s="337">
        <f>SUM($B$83:E83)</f>
        <v>-15741761.611471452</v>
      </c>
      <c r="F84" s="337">
        <f>SUM($B$83:F83)</f>
        <v>-8727003.5626683682</v>
      </c>
      <c r="G84" s="337">
        <f>SUM($B$83:G83)</f>
        <v>-1858295.8566996921</v>
      </c>
      <c r="H84" s="337">
        <f>SUM($B$83:H83)</f>
        <v>4551094.5703180106</v>
      </c>
      <c r="I84" s="337">
        <f>SUM($B$83:I83)</f>
        <v>11627590.756376706</v>
      </c>
      <c r="J84" s="337">
        <f>SUM($B$83:J83)</f>
        <v>19007922.968278252</v>
      </c>
      <c r="K84" s="337">
        <f>SUM($B$83:K83)</f>
        <v>26705523.486780025</v>
      </c>
      <c r="L84" s="337">
        <f>SUM($B$83:L83)</f>
        <v>34734418.420069329</v>
      </c>
      <c r="M84" s="337">
        <f>SUM($B$83:M83)</f>
        <v>43109253.956268296</v>
      </c>
      <c r="N84" s="337">
        <f>SUM($B$83:N83)</f>
        <v>51357720.788526259</v>
      </c>
      <c r="O84" s="337">
        <f>SUM($B$83:O83)</f>
        <v>60470994.6920624</v>
      </c>
      <c r="P84" s="337">
        <f>SUM($B$83:P83)</f>
        <v>69978148.486600667</v>
      </c>
      <c r="Q84" s="337">
        <f>SUM($B$83:Q83)</f>
        <v>79896595.200322792</v>
      </c>
      <c r="R84" s="337">
        <f>SUM($B$83:R83)</f>
        <v>90244517.673623264</v>
      </c>
      <c r="S84" s="337">
        <f>SUM($B$83:S83)</f>
        <v>101040902.59172198</v>
      </c>
      <c r="T84" s="337">
        <f>SUM($B$83:T83)</f>
        <v>111673468.5841476</v>
      </c>
      <c r="U84" s="337">
        <f>SUM($B$83:U83)</f>
        <v>123427133.08366433</v>
      </c>
      <c r="V84" s="337">
        <f>SUM($B$83:V83)</f>
        <v>135691406.4489516</v>
      </c>
      <c r="W84" s="337">
        <f>SUM($B$83:W83)</f>
        <v>148488862.17708966</v>
      </c>
      <c r="X84" s="337">
        <f>SUM($B$83:X83)</f>
        <v>161843071.71643728</v>
      </c>
      <c r="Y84" s="337">
        <f>SUM($B$83:Y83)</f>
        <v>175778648.58503979</v>
      </c>
      <c r="Z84" s="337">
        <f>SUM($B$83:Z83)</f>
        <v>189501857.67925081</v>
      </c>
      <c r="AA84" s="337">
        <f>SUM($B$83:AA83)</f>
        <v>204678410.42009073</v>
      </c>
      <c r="AB84" s="337">
        <f>SUM($B$83:AB83)</f>
        <v>220516894.4241392</v>
      </c>
      <c r="AC84" s="337">
        <f>SUM($B$83:AC83)</f>
        <v>237046572.9973022</v>
      </c>
      <c r="AD84" s="337">
        <f>SUM($B$83:AD83)</f>
        <v>254298003.14638814</v>
      </c>
      <c r="AE84" s="337">
        <f>SUM($B$83:AE83)</f>
        <v>272303092.77230501</v>
      </c>
      <c r="AF84" s="337">
        <f>SUM($B$83:AF83)</f>
        <v>290032877.99481004</v>
      </c>
    </row>
    <row r="85" spans="1:32" x14ac:dyDescent="0.2">
      <c r="A85" s="121" t="s">
        <v>395</v>
      </c>
      <c r="B85" s="338">
        <f t="shared" ref="B85:AF85" si="30">1/POWER((1+$B$44),B73)</f>
        <v>0.94503775855665906</v>
      </c>
      <c r="C85" s="338">
        <f t="shared" si="30"/>
        <v>0.84400978704711893</v>
      </c>
      <c r="D85" s="338">
        <f>1/POWER((1+$B$44),D73)</f>
        <v>0.75378207291874522</v>
      </c>
      <c r="E85" s="338">
        <f t="shared" si="30"/>
        <v>0.67320002939961177</v>
      </c>
      <c r="F85" s="338">
        <f t="shared" si="30"/>
        <v>0.60123249924052136</v>
      </c>
      <c r="G85" s="338">
        <f t="shared" si="30"/>
        <v>0.53695855965037187</v>
      </c>
      <c r="H85" s="338">
        <f t="shared" si="30"/>
        <v>0.47955573783189431</v>
      </c>
      <c r="I85" s="338">
        <f t="shared" si="30"/>
        <v>0.4282894863194554</v>
      </c>
      <c r="J85" s="338">
        <f t="shared" si="30"/>
        <v>0.38250378344150709</v>
      </c>
      <c r="K85" s="338">
        <f t="shared" si="30"/>
        <v>0.34161273862776381</v>
      </c>
      <c r="L85" s="338">
        <f t="shared" si="30"/>
        <v>0.30509309513955868</v>
      </c>
      <c r="M85" s="338">
        <f t="shared" si="30"/>
        <v>0.27247753428557531</v>
      </c>
      <c r="N85" s="338">
        <f t="shared" si="30"/>
        <v>0.2433486954412569</v>
      </c>
      <c r="O85" s="338">
        <f t="shared" si="30"/>
        <v>0.21733383534987666</v>
      </c>
      <c r="P85" s="338">
        <f t="shared" si="30"/>
        <v>0.19410005836373731</v>
      </c>
      <c r="Q85" s="338">
        <f t="shared" si="30"/>
        <v>0.1733500565899235</v>
      </c>
      <c r="R85" s="338">
        <f t="shared" si="30"/>
        <v>0.15481830542995756</v>
      </c>
      <c r="S85" s="338">
        <f t="shared" si="30"/>
        <v>0.1382676658300952</v>
      </c>
      <c r="T85" s="338">
        <f t="shared" si="30"/>
        <v>0.12348634976341452</v>
      </c>
      <c r="U85" s="338">
        <f t="shared" si="30"/>
        <v>0.11028521011290035</v>
      </c>
      <c r="V85" s="338">
        <f t="shared" si="30"/>
        <v>9.8495320275877762E-2</v>
      </c>
      <c r="W85" s="338">
        <f t="shared" si="30"/>
        <v>8.796581251752951E-2</v>
      </c>
      <c r="X85" s="338">
        <f t="shared" si="30"/>
        <v>7.8561947412279634E-2</v>
      </c>
      <c r="Y85" s="338">
        <f t="shared" si="30"/>
        <v>7.0163389668911003E-2</v>
      </c>
      <c r="Z85" s="338">
        <f t="shared" si="30"/>
        <v>6.2662668276244532E-2</v>
      </c>
      <c r="AA85" s="338">
        <f t="shared" si="30"/>
        <v>5.5963801264842836E-2</v>
      </c>
      <c r="AB85" s="338">
        <f t="shared" si="30"/>
        <v>4.9981067486686487E-2</v>
      </c>
      <c r="AC85" s="338">
        <f t="shared" si="30"/>
        <v>4.4637909696067235E-2</v>
      </c>
      <c r="AD85" s="338">
        <f t="shared" si="30"/>
        <v>3.9865954895121236E-2</v>
      </c>
      <c r="AE85" s="338">
        <f t="shared" si="30"/>
        <v>3.5604139407985382E-2</v>
      </c>
      <c r="AF85" s="338">
        <f t="shared" si="30"/>
        <v>3.1797927487706865E-2</v>
      </c>
    </row>
    <row r="86" spans="1:32" ht="28.5" x14ac:dyDescent="0.2">
      <c r="A86" s="268" t="s">
        <v>537</v>
      </c>
      <c r="B86" s="337">
        <f>B83*B85</f>
        <v>-16221661.789067561</v>
      </c>
      <c r="C86" s="337">
        <f>C83*C85</f>
        <v>-4256293.7437985148</v>
      </c>
      <c r="D86" s="337">
        <f t="shared" ref="D86:AF86" si="31">D83*D85</f>
        <v>1541748.8466645062</v>
      </c>
      <c r="E86" s="337">
        <f t="shared" si="31"/>
        <v>2976166.7654792289</v>
      </c>
      <c r="F86" s="337">
        <f t="shared" si="31"/>
        <v>4217500.513249442</v>
      </c>
      <c r="G86" s="337">
        <f t="shared" si="31"/>
        <v>3688211.3964563501</v>
      </c>
      <c r="H86" s="337">
        <f t="shared" si="31"/>
        <v>3073659.9552811547</v>
      </c>
      <c r="I86" s="337">
        <f t="shared" si="31"/>
        <v>3030788.9164686645</v>
      </c>
      <c r="J86" s="337">
        <f t="shared" si="31"/>
        <v>2823004.9941075686</v>
      </c>
      <c r="K86" s="337">
        <f t="shared" si="31"/>
        <v>2629598.3939878857</v>
      </c>
      <c r="L86" s="337">
        <f t="shared" si="31"/>
        <v>2449560.4057475538</v>
      </c>
      <c r="M86" s="337">
        <f t="shared" si="31"/>
        <v>2281954.5369507079</v>
      </c>
      <c r="N86" s="337">
        <f t="shared" si="31"/>
        <v>2007253.6430204527</v>
      </c>
      <c r="O86" s="337">
        <f t="shared" si="31"/>
        <v>1980622.7700494519</v>
      </c>
      <c r="P86" s="337">
        <f t="shared" si="31"/>
        <v>1845339.1063929049</v>
      </c>
      <c r="Q86" s="337">
        <f t="shared" si="31"/>
        <v>1719363.2991078706</v>
      </c>
      <c r="R86" s="337">
        <f t="shared" si="31"/>
        <v>1602047.8220369536</v>
      </c>
      <c r="S86" s="337">
        <f t="shared" si="31"/>
        <v>1492790.9420287528</v>
      </c>
      <c r="T86" s="337">
        <f t="shared" si="31"/>
        <v>1312976.7630232559</v>
      </c>
      <c r="U86" s="337">
        <f t="shared" si="31"/>
        <v>1296255.3589257393</v>
      </c>
      <c r="V86" s="337">
        <f t="shared" si="31"/>
        <v>1207973.5330648869</v>
      </c>
      <c r="W86" s="337">
        <f t="shared" si="31"/>
        <v>1125738.5912827756</v>
      </c>
      <c r="X86" s="337">
        <f t="shared" si="31"/>
        <v>1049132.7075627903</v>
      </c>
      <c r="Y86" s="337">
        <f t="shared" si="31"/>
        <v>977767.31009282055</v>
      </c>
      <c r="Z86" s="337">
        <f t="shared" si="31"/>
        <v>859932.89915608638</v>
      </c>
      <c r="AA86" s="337">
        <f t="shared" si="31"/>
        <v>849337.58147377218</v>
      </c>
      <c r="AB86" s="337">
        <f t="shared" si="31"/>
        <v>791624.33789315121</v>
      </c>
      <c r="AC86" s="337">
        <f t="shared" si="31"/>
        <v>737850.29945386783</v>
      </c>
      <c r="AD86" s="337">
        <f t="shared" si="31"/>
        <v>687744.73619979515</v>
      </c>
      <c r="AE86" s="337">
        <f t="shared" si="31"/>
        <v>641055.72109441622</v>
      </c>
      <c r="AF86" s="337">
        <f t="shared" si="31"/>
        <v>563770.42487783206</v>
      </c>
    </row>
    <row r="87" spans="1:32" ht="14.25" x14ac:dyDescent="0.2">
      <c r="A87" s="268" t="s">
        <v>538</v>
      </c>
      <c r="B87" s="337">
        <f>SUM($B$86:B86)</f>
        <v>-16221661.789067561</v>
      </c>
      <c r="C87" s="337">
        <f>SUM($B$86:C86)</f>
        <v>-20477955.532866076</v>
      </c>
      <c r="D87" s="337">
        <f>SUM($B$86:D86)</f>
        <v>-18936206.686201569</v>
      </c>
      <c r="E87" s="337">
        <f>SUM($B$86:E86)</f>
        <v>-15960039.920722339</v>
      </c>
      <c r="F87" s="337">
        <f>SUM($B$86:F86)</f>
        <v>-11742539.407472897</v>
      </c>
      <c r="G87" s="337">
        <f>SUM($B$86:G86)</f>
        <v>-8054328.0110165477</v>
      </c>
      <c r="H87" s="337">
        <f>SUM($B$86:H86)</f>
        <v>-4980668.0557353925</v>
      </c>
      <c r="I87" s="337">
        <f>SUM($B$86:I86)</f>
        <v>-1949879.139266728</v>
      </c>
      <c r="J87" s="337">
        <f>SUM($B$86:J86)</f>
        <v>873125.85484084068</v>
      </c>
      <c r="K87" s="337">
        <f>SUM($B$86:K86)</f>
        <v>3502724.2488287264</v>
      </c>
      <c r="L87" s="337">
        <f>SUM($B$86:L86)</f>
        <v>5952284.6545762802</v>
      </c>
      <c r="M87" s="337">
        <f>SUM($B$86:M86)</f>
        <v>8234239.1915269885</v>
      </c>
      <c r="N87" s="337">
        <f>SUM($B$86:N86)</f>
        <v>10241492.834547441</v>
      </c>
      <c r="O87" s="337">
        <f>SUM($B$86:O86)</f>
        <v>12222115.604596894</v>
      </c>
      <c r="P87" s="337">
        <f>SUM($B$86:P86)</f>
        <v>14067454.710989799</v>
      </c>
      <c r="Q87" s="337">
        <f>SUM($B$86:Q86)</f>
        <v>15786818.010097669</v>
      </c>
      <c r="R87" s="337">
        <f>SUM($B$86:R86)</f>
        <v>17388865.832134623</v>
      </c>
      <c r="S87" s="337">
        <f>SUM($B$86:S86)</f>
        <v>18881656.774163377</v>
      </c>
      <c r="T87" s="337">
        <f>SUM($B$86:T86)</f>
        <v>20194633.537186634</v>
      </c>
      <c r="U87" s="337">
        <f>SUM($B$86:U86)</f>
        <v>21490888.896112375</v>
      </c>
      <c r="V87" s="337">
        <f>SUM($B$86:V86)</f>
        <v>22698862.429177262</v>
      </c>
      <c r="W87" s="337">
        <f>SUM($B$86:W86)</f>
        <v>23824601.020460039</v>
      </c>
      <c r="X87" s="337">
        <f>SUM($B$86:X86)</f>
        <v>24873733.728022829</v>
      </c>
      <c r="Y87" s="337">
        <f>SUM($B$86:Y86)</f>
        <v>25851501.03811565</v>
      </c>
      <c r="Z87" s="337">
        <f>SUM($B$86:Z86)</f>
        <v>26711433.937271737</v>
      </c>
      <c r="AA87" s="337">
        <f>SUM($B$86:AA86)</f>
        <v>27560771.518745508</v>
      </c>
      <c r="AB87" s="337">
        <f>SUM($B$86:AB86)</f>
        <v>28352395.856638659</v>
      </c>
      <c r="AC87" s="337">
        <f>SUM($B$86:AC86)</f>
        <v>29090246.156092528</v>
      </c>
      <c r="AD87" s="337">
        <f>SUM($B$86:AD86)</f>
        <v>29777990.892292324</v>
      </c>
      <c r="AE87" s="337">
        <f>SUM($B$86:AE86)</f>
        <v>30419046.613386739</v>
      </c>
      <c r="AF87" s="337">
        <f>SUM($B$86:AF86)</f>
        <v>30982817.038264573</v>
      </c>
    </row>
    <row r="88" spans="1:32" ht="14.25" x14ac:dyDescent="0.2">
      <c r="A88" s="268" t="s">
        <v>539</v>
      </c>
      <c r="B88" s="339">
        <f>IF((ISERR(IRR($B$83:B83))),0,IF(IRR($B$83:B83)&lt;0,0,IRR($B$83:B83)))</f>
        <v>0</v>
      </c>
      <c r="C88" s="339">
        <f>IF((ISERR(IRR($B$83:C83))),0,IF(IRR($B$83:C83)&lt;0,0,IRR($B$83:C83)))</f>
        <v>0</v>
      </c>
      <c r="D88" s="339">
        <f>IF((ISERR(IRR($B$83:D83))),0,IF(IRR($B$83:D83)&lt;0,0,IRR($B$83:D83)))</f>
        <v>0</v>
      </c>
      <c r="E88" s="339">
        <f>IF((ISERR(IRR($B$83:E83))),0,IF(IRR($B$83:E83)&lt;0,0,IRR($B$83:E83)))</f>
        <v>0</v>
      </c>
      <c r="F88" s="339">
        <f>IF((ISERR(IRR($B$83:F83))),0,IF(IRR($B$83:F83)&lt;0,0,IRR($B$83:F83)))</f>
        <v>0</v>
      </c>
      <c r="G88" s="339">
        <f>IF((ISERR(IRR($B$83:G83))),0,IF(IRR($B$83:G83)&lt;0,0,IRR($B$83:G83)))</f>
        <v>0</v>
      </c>
      <c r="H88" s="339">
        <f>IF((ISERR(IRR($B$83:H83))),0,IF(IRR($B$83:H83)&lt;0,0,IRR($B$83:H83)))</f>
        <v>4.5827322689649064E-2</v>
      </c>
      <c r="I88" s="339">
        <f>IF((ISERR(IRR($B$83:I83))),0,IF(IRR($B$83:I83)&lt;0,0,IRR($B$83:I83)))</f>
        <v>9.5135770061256064E-2</v>
      </c>
      <c r="J88" s="339">
        <f>IF((ISERR(IRR($B$83:J83))),0,IF(IRR($B$83:J83)&lt;0,0,IRR($B$83:J83)))</f>
        <v>0.12926138902656126</v>
      </c>
      <c r="K88" s="339">
        <f>IF((ISERR(IRR($B$83:K83))),0,IF(IRR($B$83:K83)&lt;0,0,IRR($B$83:K83)))</f>
        <v>0.15365828718043595</v>
      </c>
      <c r="L88" s="339">
        <f>IF((ISERR(IRR($B$83:L83))),0,IF(IRR($B$83:L83)&lt;0,0,IRR($B$83:L83)))</f>
        <v>0.17155221431470524</v>
      </c>
      <c r="M88" s="339">
        <f>IF((ISERR(IRR($B$83:M83))),0,IF(IRR($B$83:M83)&lt;0,0,IRR($B$83:M83)))</f>
        <v>0.1849507779910089</v>
      </c>
      <c r="N88" s="339">
        <f>IF((ISERR(IRR($B$83:N83))),0,IF(IRR($B$83:N83)&lt;0,0,IRR($B$83:N83)))</f>
        <v>0.19461988227390181</v>
      </c>
      <c r="O88" s="339">
        <f>IF((ISERR(IRR($B$83:O83))),0,IF(IRR($B$83:O83)&lt;0,0,IRR($B$83:O83)))</f>
        <v>0.20255654529991207</v>
      </c>
      <c r="P88" s="339">
        <f>IF((ISERR(IRR($B$83:P83))),0,IF(IRR($B$83:P83)&lt;0,0,IRR($B$83:P83)))</f>
        <v>0.20875831509245346</v>
      </c>
      <c r="Q88" s="339">
        <f>IF((ISERR(IRR($B$83:Q83))),0,IF(IRR($B$83:Q83)&lt;0,0,IRR($B$83:Q83)))</f>
        <v>0.21365441833841925</v>
      </c>
      <c r="R88" s="339">
        <f>IF((ISERR(IRR($B$83:R83))),0,IF(IRR($B$83:R83)&lt;0,0,IRR($B$83:R83)))</f>
        <v>0.21755372033471487</v>
      </c>
      <c r="S88" s="339">
        <f>IF((ISERR(IRR($B$83:S83))),0,IF(IRR($B$83:S83)&lt;0,0,IRR($B$83:S83)))</f>
        <v>0.22068258605177116</v>
      </c>
      <c r="T88" s="339">
        <f>IF((ISERR(IRR($B$83:T83))),0,IF(IRR($B$83:T83)&lt;0,0,IRR($B$83:T83)))</f>
        <v>0.22307123965460418</v>
      </c>
      <c r="U88" s="339">
        <f>IF((ISERR(IRR($B$83:U83))),0,IF(IRR($B$83:U83)&lt;0,0,IRR($B$83:U83)))</f>
        <v>0.22512959787303699</v>
      </c>
      <c r="V88" s="339">
        <f>IF((ISERR(IRR($B$83:V83))),0,IF(IRR($B$83:V83)&lt;0,0,IRR($B$83:V83)))</f>
        <v>0.22680951948554995</v>
      </c>
      <c r="W88" s="339">
        <f>IF((ISERR(IRR($B$83:W83))),0,IF(IRR($B$83:W83)&lt;0,0,IRR($B$83:W83)))</f>
        <v>0.22818647567477424</v>
      </c>
      <c r="X88" s="339">
        <f>IF((ISERR(IRR($B$83:X83))),0,IF(IRR($B$83:X83)&lt;0,0,IRR($B$83:X83)))</f>
        <v>0.22931934608249693</v>
      </c>
      <c r="Y88" s="339">
        <f>IF((ISERR(IRR($B$83:Y83))),0,IF(IRR($B$83:Y83)&lt;0,0,IRR($B$83:Y83)))</f>
        <v>0.23025446658373427</v>
      </c>
      <c r="Z88" s="339">
        <f>IF((ISERR(IRR($B$83:Z83))),0,IF(IRR($B$83:Z83)&lt;0,0,IRR($B$83:Z83)))</f>
        <v>0.23098542926123722</v>
      </c>
      <c r="AA88" s="339">
        <f>IF((ISERR(IRR($B$83:AA83))),0,IF(IRR($B$83:AA83)&lt;0,0,IRR($B$83:AA83)))</f>
        <v>0.23162871540530738</v>
      </c>
      <c r="AB88" s="339">
        <f>IF((ISERR(IRR($B$83:AB83))),0,IF(IRR($B$83:AB83)&lt;0,0,IRR($B$83:AB83)))</f>
        <v>0.23216379034100609</v>
      </c>
      <c r="AC88" s="339">
        <f>IF((ISERR(IRR($B$83:AC83))),0,IF(IRR($B$83:AC83)&lt;0,0,IRR($B$83:AC83)))</f>
        <v>0.2326097321817675</v>
      </c>
      <c r="AD88" s="339">
        <f>IF((ISERR(IRR($B$83:AD83))),0,IF(IRR($B$83:AD83)&lt;0,0,IRR($B$83:AD83)))</f>
        <v>0.23298203217510527</v>
      </c>
      <c r="AE88" s="339">
        <f>IF((ISERR(IRR($B$83:AE83))),0,IF(IRR($B$83:AE83)&lt;0,0,IRR($B$83:AE83)))</f>
        <v>0.23329332522135537</v>
      </c>
      <c r="AF88" s="339">
        <f>IF((ISERR(IRR($B$83:AF83))),0,IF(IRR($B$83:AF83)&lt;0,0,IRR($B$83:AF83)))</f>
        <v>0.23353929378692873</v>
      </c>
    </row>
    <row r="89" spans="1:32" ht="14.25" x14ac:dyDescent="0.2">
      <c r="A89" s="268" t="s">
        <v>540</v>
      </c>
      <c r="B89" s="340">
        <f>IF(AND(B84&gt;0,A84&lt;0),(B74-(B84/(B84-A84))),0)</f>
        <v>0</v>
      </c>
      <c r="C89" s="340">
        <f t="shared" ref="C89:AF89" si="32">IF(AND(C84&gt;0,B84&lt;0),(C74-(C84/(C84-B84))),0)</f>
        <v>0</v>
      </c>
      <c r="D89" s="340">
        <f t="shared" si="32"/>
        <v>0</v>
      </c>
      <c r="E89" s="340">
        <f t="shared" si="32"/>
        <v>0</v>
      </c>
      <c r="F89" s="340">
        <f t="shared" si="32"/>
        <v>0</v>
      </c>
      <c r="G89" s="340">
        <f t="shared" si="32"/>
        <v>0</v>
      </c>
      <c r="H89" s="340">
        <f>IF(AND(H84&gt;0,G84&lt;0),(H74-(H84/(H84-G84))),0)</f>
        <v>6.2899333217190767</v>
      </c>
      <c r="I89" s="340">
        <f t="shared" si="32"/>
        <v>0</v>
      </c>
      <c r="J89" s="340">
        <f t="shared" si="32"/>
        <v>0</v>
      </c>
      <c r="K89" s="340">
        <f t="shared" si="32"/>
        <v>0</v>
      </c>
      <c r="L89" s="340">
        <f t="shared" si="32"/>
        <v>0</v>
      </c>
      <c r="M89" s="340">
        <f t="shared" si="32"/>
        <v>0</v>
      </c>
      <c r="N89" s="340">
        <f t="shared" si="32"/>
        <v>0</v>
      </c>
      <c r="O89" s="340">
        <f t="shared" si="32"/>
        <v>0</v>
      </c>
      <c r="P89" s="340">
        <f t="shared" si="32"/>
        <v>0</v>
      </c>
      <c r="Q89" s="340">
        <f t="shared" si="32"/>
        <v>0</v>
      </c>
      <c r="R89" s="340">
        <f t="shared" si="32"/>
        <v>0</v>
      </c>
      <c r="S89" s="340">
        <f t="shared" si="32"/>
        <v>0</v>
      </c>
      <c r="T89" s="340">
        <f t="shared" si="32"/>
        <v>0</v>
      </c>
      <c r="U89" s="340">
        <f t="shared" si="32"/>
        <v>0</v>
      </c>
      <c r="V89" s="340">
        <f t="shared" si="32"/>
        <v>0</v>
      </c>
      <c r="W89" s="340">
        <f t="shared" si="32"/>
        <v>0</v>
      </c>
      <c r="X89" s="340">
        <f t="shared" si="32"/>
        <v>0</v>
      </c>
      <c r="Y89" s="340">
        <f t="shared" si="32"/>
        <v>0</v>
      </c>
      <c r="Z89" s="340">
        <f t="shared" si="32"/>
        <v>0</v>
      </c>
      <c r="AA89" s="340">
        <f t="shared" si="32"/>
        <v>0</v>
      </c>
      <c r="AB89" s="340">
        <f t="shared" si="32"/>
        <v>0</v>
      </c>
      <c r="AC89" s="340">
        <f t="shared" si="32"/>
        <v>0</v>
      </c>
      <c r="AD89" s="340">
        <f t="shared" si="32"/>
        <v>0</v>
      </c>
      <c r="AE89" s="340">
        <f t="shared" si="32"/>
        <v>0</v>
      </c>
      <c r="AF89" s="340">
        <f t="shared" si="32"/>
        <v>0</v>
      </c>
    </row>
    <row r="90" spans="1:32" ht="15" thickBot="1" x14ac:dyDescent="0.25">
      <c r="A90" s="271" t="s">
        <v>541</v>
      </c>
      <c r="B90" s="122">
        <f t="shared" ref="B90:AF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8.6907104816805827</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row>
    <row r="91" spans="1:32" s="258" customFormat="1" x14ac:dyDescent="0.2">
      <c r="A91" s="238"/>
      <c r="B91" s="272">
        <v>2023</v>
      </c>
      <c r="C91" s="272">
        <f>B91+1</f>
        <v>2024</v>
      </c>
      <c r="D91" s="224">
        <f t="shared" ref="D91:AF91" si="34">C91+1</f>
        <v>2025</v>
      </c>
      <c r="E91" s="224">
        <f t="shared" si="34"/>
        <v>2026</v>
      </c>
      <c r="F91" s="224">
        <f t="shared" si="34"/>
        <v>2027</v>
      </c>
      <c r="G91" s="224">
        <f t="shared" si="34"/>
        <v>2028</v>
      </c>
      <c r="H91" s="224">
        <f t="shared" si="34"/>
        <v>2029</v>
      </c>
      <c r="I91" s="224">
        <f t="shared" si="34"/>
        <v>2030</v>
      </c>
      <c r="J91" s="224">
        <f t="shared" si="34"/>
        <v>2031</v>
      </c>
      <c r="K91" s="224">
        <f t="shared" si="34"/>
        <v>2032</v>
      </c>
      <c r="L91" s="224">
        <f t="shared" si="34"/>
        <v>2033</v>
      </c>
      <c r="M91" s="224">
        <f t="shared" si="34"/>
        <v>2034</v>
      </c>
      <c r="N91" s="224">
        <f t="shared" si="34"/>
        <v>2035</v>
      </c>
      <c r="O91" s="224">
        <f t="shared" si="34"/>
        <v>2036</v>
      </c>
      <c r="P91" s="224">
        <f t="shared" si="34"/>
        <v>2037</v>
      </c>
      <c r="Q91" s="224">
        <f t="shared" si="34"/>
        <v>2038</v>
      </c>
      <c r="R91" s="224">
        <f t="shared" si="34"/>
        <v>2039</v>
      </c>
      <c r="S91" s="224">
        <f t="shared" si="34"/>
        <v>2040</v>
      </c>
      <c r="T91" s="224">
        <f t="shared" si="34"/>
        <v>2041</v>
      </c>
      <c r="U91" s="224">
        <f t="shared" si="34"/>
        <v>2042</v>
      </c>
      <c r="V91" s="224">
        <f t="shared" si="34"/>
        <v>2043</v>
      </c>
      <c r="W91" s="224">
        <f t="shared" si="34"/>
        <v>2044</v>
      </c>
      <c r="X91" s="224">
        <f t="shared" si="34"/>
        <v>2045</v>
      </c>
      <c r="Y91" s="224">
        <f t="shared" si="34"/>
        <v>2046</v>
      </c>
      <c r="Z91" s="224">
        <f t="shared" si="34"/>
        <v>2047</v>
      </c>
      <c r="AA91" s="224">
        <f t="shared" si="34"/>
        <v>2048</v>
      </c>
      <c r="AB91" s="224">
        <f t="shared" si="34"/>
        <v>2049</v>
      </c>
      <c r="AC91" s="224">
        <f t="shared" si="34"/>
        <v>2050</v>
      </c>
      <c r="AD91" s="224">
        <f t="shared" si="34"/>
        <v>2051</v>
      </c>
      <c r="AE91" s="224">
        <f t="shared" si="34"/>
        <v>2052</v>
      </c>
      <c r="AF91" s="224">
        <f t="shared" si="34"/>
        <v>2053</v>
      </c>
    </row>
    <row r="92" spans="1:32" ht="15.6" customHeight="1" x14ac:dyDescent="0.2">
      <c r="A92" s="273" t="s">
        <v>542</v>
      </c>
      <c r="B92" s="274"/>
      <c r="C92" s="274"/>
      <c r="D92" s="274"/>
      <c r="E92" s="274"/>
      <c r="F92" s="274"/>
      <c r="G92" s="274"/>
      <c r="H92" s="274"/>
      <c r="I92" s="274"/>
      <c r="J92" s="274"/>
      <c r="K92" s="274"/>
      <c r="L92" s="274">
        <v>10</v>
      </c>
      <c r="M92" s="274"/>
      <c r="N92" s="274"/>
      <c r="O92" s="274"/>
      <c r="P92" s="274"/>
      <c r="Q92" s="274"/>
      <c r="R92" s="274"/>
      <c r="S92" s="274"/>
      <c r="T92" s="274"/>
      <c r="U92" s="274"/>
      <c r="V92" s="274"/>
      <c r="W92" s="274"/>
      <c r="X92" s="274"/>
      <c r="Y92" s="274"/>
      <c r="Z92" s="274"/>
      <c r="AA92" s="274">
        <v>25</v>
      </c>
      <c r="AB92" s="274"/>
      <c r="AC92" s="274"/>
      <c r="AD92" s="274"/>
      <c r="AE92" s="274"/>
      <c r="AF92" s="274">
        <v>30</v>
      </c>
    </row>
    <row r="93" spans="1:32" ht="12.75" x14ac:dyDescent="0.2">
      <c r="A93" s="275" t="s">
        <v>543</v>
      </c>
      <c r="B93" s="275"/>
      <c r="C93" s="275"/>
      <c r="D93" s="275"/>
      <c r="E93" s="275"/>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row>
    <row r="94" spans="1:32" ht="12.75" x14ac:dyDescent="0.2">
      <c r="A94" s="275" t="s">
        <v>544</v>
      </c>
      <c r="B94" s="275"/>
      <c r="C94" s="275"/>
      <c r="D94" s="275"/>
      <c r="E94" s="275"/>
      <c r="F94" s="275"/>
      <c r="G94" s="275"/>
      <c r="H94" s="275"/>
      <c r="I94" s="275"/>
      <c r="J94" s="275"/>
      <c r="K94" s="275"/>
      <c r="L94" s="275"/>
      <c r="M94" s="275"/>
      <c r="N94" s="275"/>
      <c r="O94" s="275"/>
      <c r="P94" s="275"/>
      <c r="Q94" s="275"/>
      <c r="R94" s="275"/>
      <c r="S94" s="275"/>
      <c r="T94" s="275"/>
      <c r="U94" s="275"/>
      <c r="V94" s="275"/>
      <c r="W94" s="275"/>
      <c r="X94" s="275"/>
      <c r="Y94" s="275"/>
      <c r="Z94" s="275"/>
      <c r="AA94" s="275"/>
      <c r="AB94" s="275"/>
      <c r="AC94" s="275"/>
      <c r="AD94" s="275"/>
      <c r="AE94" s="275"/>
      <c r="AF94" s="275"/>
    </row>
    <row r="95" spans="1:32" ht="12.75" x14ac:dyDescent="0.2">
      <c r="A95" s="275" t="s">
        <v>545</v>
      </c>
      <c r="B95" s="275"/>
      <c r="C95" s="275"/>
      <c r="D95" s="275"/>
      <c r="E95" s="275"/>
      <c r="F95" s="275"/>
      <c r="G95" s="275"/>
      <c r="H95" s="275"/>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row>
    <row r="96" spans="1:32" ht="12.75" x14ac:dyDescent="0.2">
      <c r="A96" s="276" t="s">
        <v>546</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row>
    <row r="97" spans="1:50" ht="33" customHeight="1" x14ac:dyDescent="0.2">
      <c r="A97" s="444" t="s">
        <v>547</v>
      </c>
      <c r="B97" s="444"/>
      <c r="C97" s="444"/>
      <c r="D97" s="444"/>
      <c r="E97" s="444"/>
      <c r="F97" s="444"/>
      <c r="G97" s="444"/>
      <c r="H97" s="444"/>
      <c r="I97" s="444"/>
      <c r="J97" s="444"/>
      <c r="K97" s="444"/>
      <c r="L97" s="444"/>
      <c r="M97" s="117"/>
      <c r="N97" s="117"/>
      <c r="O97" s="117"/>
      <c r="P97" s="117"/>
      <c r="Q97" s="117"/>
      <c r="R97" s="117"/>
      <c r="S97" s="117"/>
      <c r="T97" s="117"/>
      <c r="U97" s="117"/>
      <c r="V97" s="117"/>
      <c r="W97" s="117"/>
      <c r="X97" s="117"/>
      <c r="Y97" s="117"/>
      <c r="Z97" s="117"/>
      <c r="AA97" s="117"/>
      <c r="AB97" s="117"/>
      <c r="AC97" s="117"/>
      <c r="AD97" s="117"/>
      <c r="AE97" s="117"/>
      <c r="AF97" s="117"/>
    </row>
    <row r="98" spans="1:50" hidden="1" x14ac:dyDescent="0.2">
      <c r="C98" s="277"/>
    </row>
    <row r="99" spans="1:50" ht="12.75" hidden="1" x14ac:dyDescent="0.2">
      <c r="A99" s="281"/>
      <c r="B99" s="279"/>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c r="AA99" s="279"/>
      <c r="AB99" s="279"/>
      <c r="AC99" s="279"/>
      <c r="AD99" s="279"/>
      <c r="AE99" s="279"/>
      <c r="AF99" s="279"/>
      <c r="AG99" s="279"/>
      <c r="AH99" s="279"/>
      <c r="AI99" s="279"/>
      <c r="AJ99" s="279"/>
      <c r="AK99" s="279"/>
      <c r="AL99" s="279"/>
      <c r="AM99" s="279"/>
      <c r="AN99" s="279"/>
      <c r="AO99" s="279"/>
      <c r="AP99" s="279"/>
      <c r="AQ99" s="279"/>
      <c r="AR99" s="279"/>
      <c r="AS99" s="279"/>
      <c r="AT99" s="279"/>
      <c r="AU99" s="279"/>
      <c r="AV99" s="279"/>
      <c r="AW99" s="279"/>
      <c r="AX99" s="279"/>
    </row>
    <row r="100" spans="1:50" ht="12.75" hidden="1" x14ac:dyDescent="0.2">
      <c r="A100" s="341"/>
      <c r="B100" s="342">
        <v>2023</v>
      </c>
      <c r="C100" s="342">
        <v>2024</v>
      </c>
      <c r="D100" s="343">
        <f t="shared" ref="D100:AF100" si="35">C100+1</f>
        <v>2025</v>
      </c>
      <c r="E100" s="343">
        <f t="shared" si="35"/>
        <v>2026</v>
      </c>
      <c r="F100" s="343">
        <f t="shared" si="35"/>
        <v>2027</v>
      </c>
      <c r="G100" s="343">
        <f t="shared" si="35"/>
        <v>2028</v>
      </c>
      <c r="H100" s="343">
        <f t="shared" si="35"/>
        <v>2029</v>
      </c>
      <c r="I100" s="343">
        <f t="shared" si="35"/>
        <v>2030</v>
      </c>
      <c r="J100" s="343">
        <f t="shared" si="35"/>
        <v>2031</v>
      </c>
      <c r="K100" s="343">
        <f t="shared" si="35"/>
        <v>2032</v>
      </c>
      <c r="L100" s="343">
        <f t="shared" si="35"/>
        <v>2033</v>
      </c>
      <c r="M100" s="343">
        <f t="shared" si="35"/>
        <v>2034</v>
      </c>
      <c r="N100" s="343">
        <f t="shared" si="35"/>
        <v>2035</v>
      </c>
      <c r="O100" s="343">
        <f t="shared" si="35"/>
        <v>2036</v>
      </c>
      <c r="P100" s="343">
        <f t="shared" si="35"/>
        <v>2037</v>
      </c>
      <c r="Q100" s="343">
        <f t="shared" si="35"/>
        <v>2038</v>
      </c>
      <c r="R100" s="343">
        <f t="shared" si="35"/>
        <v>2039</v>
      </c>
      <c r="S100" s="343">
        <f t="shared" si="35"/>
        <v>2040</v>
      </c>
      <c r="T100" s="343">
        <f t="shared" si="35"/>
        <v>2041</v>
      </c>
      <c r="U100" s="343">
        <f t="shared" si="35"/>
        <v>2042</v>
      </c>
      <c r="V100" s="343">
        <f t="shared" si="35"/>
        <v>2043</v>
      </c>
      <c r="W100" s="343">
        <f t="shared" si="35"/>
        <v>2044</v>
      </c>
      <c r="X100" s="343">
        <f t="shared" si="35"/>
        <v>2045</v>
      </c>
      <c r="Y100" s="343">
        <f t="shared" si="35"/>
        <v>2046</v>
      </c>
      <c r="Z100" s="343">
        <f t="shared" si="35"/>
        <v>2047</v>
      </c>
      <c r="AA100" s="343">
        <f t="shared" si="35"/>
        <v>2048</v>
      </c>
      <c r="AB100" s="343">
        <f t="shared" si="35"/>
        <v>2049</v>
      </c>
      <c r="AC100" s="343">
        <f t="shared" si="35"/>
        <v>2050</v>
      </c>
      <c r="AD100" s="343">
        <f t="shared" si="35"/>
        <v>2051</v>
      </c>
      <c r="AE100" s="343">
        <f t="shared" si="35"/>
        <v>2052</v>
      </c>
      <c r="AF100" s="343">
        <f t="shared" si="35"/>
        <v>2053</v>
      </c>
      <c r="AG100" s="278"/>
      <c r="AH100" s="278"/>
      <c r="AI100" s="278"/>
      <c r="AJ100" s="278"/>
      <c r="AK100" s="278"/>
      <c r="AL100" s="278"/>
    </row>
    <row r="101" spans="1:50" ht="12.75" hidden="1" x14ac:dyDescent="0.2">
      <c r="A101" s="344" t="s">
        <v>548</v>
      </c>
      <c r="B101" s="345"/>
      <c r="C101" s="345">
        <f>C102*$B$104*$C$105*1000</f>
        <v>0</v>
      </c>
      <c r="D101" s="345">
        <f>D102*$B$104*D105</f>
        <v>1434881.7945000001</v>
      </c>
      <c r="E101" s="345">
        <f t="shared" ref="E101:AF101" si="36">E102*$B$104*E105</f>
        <v>3121548.7432499998</v>
      </c>
      <c r="F101" s="345">
        <f t="shared" si="36"/>
        <v>4972517.0250000004</v>
      </c>
      <c r="G101" s="345">
        <f t="shared" si="36"/>
        <v>5142883.7249999996</v>
      </c>
      <c r="H101" s="345">
        <f t="shared" si="36"/>
        <v>5348599.7249999996</v>
      </c>
      <c r="I101" s="345">
        <f t="shared" si="36"/>
        <v>5348599.7249999996</v>
      </c>
      <c r="J101" s="345">
        <f t="shared" si="36"/>
        <v>5348599.7249999996</v>
      </c>
      <c r="K101" s="345">
        <f t="shared" si="36"/>
        <v>5348599.7249999996</v>
      </c>
      <c r="L101" s="345">
        <f t="shared" si="36"/>
        <v>5348599.7249999996</v>
      </c>
      <c r="M101" s="345">
        <f t="shared" si="36"/>
        <v>5348599.7249999996</v>
      </c>
      <c r="N101" s="345">
        <f t="shared" si="36"/>
        <v>5348599.7249999996</v>
      </c>
      <c r="O101" s="345">
        <f t="shared" si="36"/>
        <v>5348599.7249999996</v>
      </c>
      <c r="P101" s="345">
        <f t="shared" si="36"/>
        <v>5348599.7249999996</v>
      </c>
      <c r="Q101" s="345">
        <f t="shared" si="36"/>
        <v>5348599.7249999996</v>
      </c>
      <c r="R101" s="345">
        <f t="shared" si="36"/>
        <v>5348599.7249999996</v>
      </c>
      <c r="S101" s="345">
        <f t="shared" si="36"/>
        <v>5348599.7249999996</v>
      </c>
      <c r="T101" s="345">
        <f t="shared" si="36"/>
        <v>5348599.7249999996</v>
      </c>
      <c r="U101" s="345">
        <f t="shared" si="36"/>
        <v>5348599.7249999996</v>
      </c>
      <c r="V101" s="345">
        <f t="shared" si="36"/>
        <v>5348599.7249999996</v>
      </c>
      <c r="W101" s="345">
        <f t="shared" si="36"/>
        <v>5348599.7249999996</v>
      </c>
      <c r="X101" s="345">
        <f t="shared" si="36"/>
        <v>5348599.7249999996</v>
      </c>
      <c r="Y101" s="345">
        <f t="shared" si="36"/>
        <v>5348599.7249999996</v>
      </c>
      <c r="Z101" s="345">
        <f t="shared" si="36"/>
        <v>5348599.7249999996</v>
      </c>
      <c r="AA101" s="345">
        <f t="shared" si="36"/>
        <v>5348599.7249999996</v>
      </c>
      <c r="AB101" s="345">
        <f t="shared" si="36"/>
        <v>5348599.7249999996</v>
      </c>
      <c r="AC101" s="345">
        <f t="shared" si="36"/>
        <v>5348599.7249999996</v>
      </c>
      <c r="AD101" s="345">
        <f t="shared" si="36"/>
        <v>5348599.7249999996</v>
      </c>
      <c r="AE101" s="345">
        <f t="shared" si="36"/>
        <v>5348599.7249999996</v>
      </c>
      <c r="AF101" s="345">
        <f t="shared" si="36"/>
        <v>5348599.7249999996</v>
      </c>
      <c r="AG101" s="278"/>
      <c r="AH101" s="278"/>
      <c r="AI101" s="278"/>
      <c r="AJ101" s="278"/>
      <c r="AK101" s="278"/>
      <c r="AL101" s="278"/>
    </row>
    <row r="102" spans="1:50" ht="12.75" hidden="1" x14ac:dyDescent="0.2">
      <c r="A102" s="344" t="s">
        <v>549</v>
      </c>
      <c r="B102" s="343"/>
      <c r="C102" s="343">
        <f t="shared" ref="C102:L102" si="37">B102+$I$113*C106</f>
        <v>0</v>
      </c>
      <c r="D102" s="343">
        <f t="shared" si="37"/>
        <v>0.15345</v>
      </c>
      <c r="E102" s="343">
        <f t="shared" si="37"/>
        <v>0.31154999999999999</v>
      </c>
      <c r="F102" s="343">
        <f t="shared" si="37"/>
        <v>0.46499999999999997</v>
      </c>
      <c r="G102" s="343">
        <f t="shared" si="37"/>
        <v>0.46499999999999997</v>
      </c>
      <c r="H102" s="343">
        <f t="shared" si="37"/>
        <v>0.46499999999999997</v>
      </c>
      <c r="I102" s="343">
        <f t="shared" si="37"/>
        <v>0.46499999999999997</v>
      </c>
      <c r="J102" s="343">
        <f t="shared" si="37"/>
        <v>0.46499999999999997</v>
      </c>
      <c r="K102" s="343">
        <f t="shared" si="37"/>
        <v>0.46499999999999997</v>
      </c>
      <c r="L102" s="343">
        <f t="shared" si="37"/>
        <v>0.46499999999999997</v>
      </c>
      <c r="M102" s="343">
        <f t="shared" ref="M102:AF102" si="38">L102+$I$113*M106</f>
        <v>0.46499999999999997</v>
      </c>
      <c r="N102" s="343">
        <f t="shared" si="38"/>
        <v>0.46499999999999997</v>
      </c>
      <c r="O102" s="343">
        <f t="shared" si="38"/>
        <v>0.46499999999999997</v>
      </c>
      <c r="P102" s="343">
        <f t="shared" si="38"/>
        <v>0.46499999999999997</v>
      </c>
      <c r="Q102" s="343">
        <f t="shared" si="38"/>
        <v>0.46499999999999997</v>
      </c>
      <c r="R102" s="343">
        <f t="shared" si="38"/>
        <v>0.46499999999999997</v>
      </c>
      <c r="S102" s="343">
        <f t="shared" si="38"/>
        <v>0.46499999999999997</v>
      </c>
      <c r="T102" s="343">
        <f t="shared" si="38"/>
        <v>0.46499999999999997</v>
      </c>
      <c r="U102" s="343">
        <f t="shared" si="38"/>
        <v>0.46499999999999997</v>
      </c>
      <c r="V102" s="343">
        <f t="shared" si="38"/>
        <v>0.46499999999999997</v>
      </c>
      <c r="W102" s="343">
        <f t="shared" si="38"/>
        <v>0.46499999999999997</v>
      </c>
      <c r="X102" s="343">
        <f t="shared" si="38"/>
        <v>0.46499999999999997</v>
      </c>
      <c r="Y102" s="343">
        <f t="shared" si="38"/>
        <v>0.46499999999999997</v>
      </c>
      <c r="Z102" s="343">
        <f t="shared" si="38"/>
        <v>0.46499999999999997</v>
      </c>
      <c r="AA102" s="343">
        <f t="shared" si="38"/>
        <v>0.46499999999999997</v>
      </c>
      <c r="AB102" s="343">
        <f t="shared" si="38"/>
        <v>0.46499999999999997</v>
      </c>
      <c r="AC102" s="343">
        <f t="shared" si="38"/>
        <v>0.46499999999999997</v>
      </c>
      <c r="AD102" s="343">
        <f t="shared" si="38"/>
        <v>0.46499999999999997</v>
      </c>
      <c r="AE102" s="343">
        <f t="shared" si="38"/>
        <v>0.46499999999999997</v>
      </c>
      <c r="AF102" s="343">
        <f t="shared" si="38"/>
        <v>0.46499999999999997</v>
      </c>
      <c r="AG102" s="278"/>
      <c r="AH102" s="278"/>
      <c r="AI102" s="278"/>
      <c r="AJ102" s="278"/>
      <c r="AK102" s="278"/>
      <c r="AL102" s="278"/>
    </row>
    <row r="103" spans="1:50" ht="12.75" hidden="1" x14ac:dyDescent="0.2">
      <c r="A103" s="344" t="s">
        <v>550</v>
      </c>
      <c r="B103" s="346">
        <v>0.93</v>
      </c>
      <c r="C103" s="343"/>
      <c r="D103" s="343"/>
      <c r="E103" s="343"/>
      <c r="F103" s="343"/>
      <c r="G103" s="343"/>
      <c r="H103" s="343"/>
      <c r="I103" s="343"/>
      <c r="J103" s="343"/>
      <c r="K103" s="343"/>
      <c r="L103" s="343"/>
      <c r="M103" s="343"/>
      <c r="N103" s="343"/>
      <c r="O103" s="343"/>
      <c r="P103" s="343"/>
      <c r="Q103" s="343"/>
      <c r="R103" s="343"/>
      <c r="S103" s="343"/>
      <c r="T103" s="343"/>
      <c r="U103" s="343"/>
      <c r="V103" s="343"/>
      <c r="W103" s="343"/>
      <c r="X103" s="343"/>
      <c r="Y103" s="343"/>
      <c r="Z103" s="343"/>
      <c r="AA103" s="343"/>
      <c r="AB103" s="343"/>
      <c r="AC103" s="343"/>
      <c r="AD103" s="343"/>
      <c r="AE103" s="343"/>
      <c r="AF103" s="343"/>
      <c r="AG103" s="278"/>
      <c r="AH103" s="278"/>
      <c r="AI103" s="278"/>
      <c r="AJ103" s="278"/>
      <c r="AK103" s="278"/>
      <c r="AL103" s="278"/>
    </row>
    <row r="104" spans="1:50" ht="12.75" hidden="1" x14ac:dyDescent="0.2">
      <c r="A104" s="344" t="s">
        <v>551</v>
      </c>
      <c r="B104" s="346">
        <v>3500</v>
      </c>
      <c r="C104" s="343"/>
      <c r="D104" s="343"/>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278"/>
      <c r="AH104" s="278"/>
      <c r="AI104" s="278"/>
      <c r="AJ104" s="278"/>
      <c r="AK104" s="278"/>
      <c r="AL104" s="278"/>
    </row>
    <row r="105" spans="1:50" ht="12.75" hidden="1" x14ac:dyDescent="0.2">
      <c r="A105" s="394" t="s">
        <v>639</v>
      </c>
      <c r="B105" s="342">
        <v>2.3520759999999998</v>
      </c>
      <c r="C105" s="389">
        <v>2457.5300000000002</v>
      </c>
      <c r="D105" s="389">
        <v>2671.66</v>
      </c>
      <c r="E105" s="389">
        <v>2862.69</v>
      </c>
      <c r="F105" s="389">
        <v>3055.31</v>
      </c>
      <c r="G105" s="389">
        <v>3159.99</v>
      </c>
      <c r="H105" s="389">
        <v>3286.39</v>
      </c>
      <c r="I105" s="389">
        <v>3286.39</v>
      </c>
      <c r="J105" s="389">
        <v>3286.39</v>
      </c>
      <c r="K105" s="389">
        <v>3286.39</v>
      </c>
      <c r="L105" s="389">
        <v>3286.39</v>
      </c>
      <c r="M105" s="389">
        <v>3286.39</v>
      </c>
      <c r="N105" s="389">
        <v>3286.39</v>
      </c>
      <c r="O105" s="389">
        <v>3286.39</v>
      </c>
      <c r="P105" s="389">
        <v>3286.39</v>
      </c>
      <c r="Q105" s="389">
        <v>3286.39</v>
      </c>
      <c r="R105" s="389">
        <v>3286.39</v>
      </c>
      <c r="S105" s="389">
        <v>3286.39</v>
      </c>
      <c r="T105" s="389">
        <v>3286.39</v>
      </c>
      <c r="U105" s="389">
        <v>3286.39</v>
      </c>
      <c r="V105" s="389">
        <v>3286.39</v>
      </c>
      <c r="W105" s="389">
        <v>3286.39</v>
      </c>
      <c r="X105" s="389">
        <v>3286.39</v>
      </c>
      <c r="Y105" s="389">
        <v>3286.39</v>
      </c>
      <c r="Z105" s="389">
        <v>3286.39</v>
      </c>
      <c r="AA105" s="389">
        <v>3286.39</v>
      </c>
      <c r="AB105" s="389">
        <v>3286.39</v>
      </c>
      <c r="AC105" s="389">
        <v>3286.39</v>
      </c>
      <c r="AD105" s="389">
        <v>3286.39</v>
      </c>
      <c r="AE105" s="389">
        <v>3286.39</v>
      </c>
      <c r="AF105" s="389">
        <v>3286.39</v>
      </c>
      <c r="AG105" s="278"/>
      <c r="AH105" s="278"/>
      <c r="AI105" s="278"/>
      <c r="AJ105" s="278"/>
      <c r="AK105" s="278"/>
      <c r="AL105" s="278"/>
    </row>
    <row r="106" spans="1:50" ht="15" hidden="1" x14ac:dyDescent="0.2">
      <c r="A106" s="347" t="s">
        <v>552</v>
      </c>
      <c r="B106" s="348">
        <v>0</v>
      </c>
      <c r="C106" s="349">
        <v>0</v>
      </c>
      <c r="D106" s="349">
        <v>0.33</v>
      </c>
      <c r="E106" s="349">
        <v>0.34</v>
      </c>
      <c r="F106" s="349">
        <v>0.33</v>
      </c>
      <c r="G106" s="348">
        <v>0</v>
      </c>
      <c r="H106" s="348">
        <v>0</v>
      </c>
      <c r="I106" s="348">
        <v>0</v>
      </c>
      <c r="J106" s="348">
        <v>0</v>
      </c>
      <c r="K106" s="348">
        <v>0</v>
      </c>
      <c r="L106" s="348">
        <v>0</v>
      </c>
      <c r="M106" s="348">
        <v>0</v>
      </c>
      <c r="N106" s="348">
        <v>0</v>
      </c>
      <c r="O106" s="348">
        <v>0</v>
      </c>
      <c r="P106" s="348">
        <v>0</v>
      </c>
      <c r="Q106" s="348">
        <v>0</v>
      </c>
      <c r="R106" s="348">
        <v>0</v>
      </c>
      <c r="S106" s="348">
        <v>0</v>
      </c>
      <c r="T106" s="348">
        <v>0</v>
      </c>
      <c r="U106" s="348">
        <v>0</v>
      </c>
      <c r="V106" s="348">
        <v>0</v>
      </c>
      <c r="W106" s="348">
        <v>0</v>
      </c>
      <c r="X106" s="348">
        <v>0</v>
      </c>
      <c r="Y106" s="348">
        <v>0</v>
      </c>
      <c r="Z106" s="348">
        <v>0</v>
      </c>
      <c r="AA106" s="348">
        <v>0</v>
      </c>
      <c r="AB106" s="348">
        <v>0</v>
      </c>
      <c r="AC106" s="348">
        <v>0</v>
      </c>
      <c r="AD106" s="348">
        <v>0</v>
      </c>
      <c r="AE106" s="348">
        <v>0</v>
      </c>
      <c r="AF106" s="348">
        <v>0</v>
      </c>
      <c r="AG106" s="278"/>
      <c r="AH106" s="278"/>
      <c r="AI106" s="278"/>
      <c r="AJ106" s="278"/>
      <c r="AK106" s="278"/>
      <c r="AL106" s="278"/>
    </row>
    <row r="107" spans="1:50" ht="12.75" hidden="1" x14ac:dyDescent="0.2">
      <c r="A107" s="281"/>
      <c r="B107" s="279"/>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c r="AA107" s="279"/>
      <c r="AB107" s="279"/>
      <c r="AC107" s="279"/>
      <c r="AD107" s="279"/>
      <c r="AE107" s="279"/>
      <c r="AF107" s="279"/>
      <c r="AG107" s="279"/>
      <c r="AH107" s="279"/>
      <c r="AI107" s="279"/>
      <c r="AJ107" s="279"/>
      <c r="AK107" s="279"/>
      <c r="AL107" s="279"/>
      <c r="AM107" s="279"/>
      <c r="AN107" s="279"/>
      <c r="AO107" s="279"/>
      <c r="AP107" s="279"/>
      <c r="AQ107" s="279"/>
      <c r="AR107" s="279"/>
      <c r="AS107" s="279"/>
      <c r="AT107" s="279"/>
      <c r="AU107" s="279"/>
      <c r="AV107" s="279"/>
      <c r="AW107" s="279"/>
      <c r="AX107" s="279"/>
    </row>
    <row r="108" spans="1:50" ht="12.75" hidden="1" x14ac:dyDescent="0.2">
      <c r="A108" s="281"/>
      <c r="B108" s="279"/>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c r="AA108" s="279"/>
      <c r="AB108" s="279"/>
      <c r="AC108" s="279"/>
      <c r="AD108" s="279"/>
      <c r="AE108" s="279"/>
      <c r="AF108" s="279"/>
      <c r="AG108" s="279"/>
      <c r="AH108" s="279"/>
      <c r="AI108" s="279"/>
      <c r="AJ108" s="279"/>
      <c r="AK108" s="279"/>
      <c r="AL108" s="279"/>
      <c r="AM108" s="279"/>
      <c r="AN108" s="279"/>
      <c r="AO108" s="279"/>
      <c r="AP108" s="279"/>
      <c r="AQ108" s="279"/>
      <c r="AR108" s="279"/>
      <c r="AS108" s="279"/>
      <c r="AT108" s="279"/>
      <c r="AU108" s="279"/>
      <c r="AV108" s="279"/>
      <c r="AW108" s="279"/>
      <c r="AX108" s="279"/>
    </row>
    <row r="109" spans="1:50" ht="12.75" hidden="1" x14ac:dyDescent="0.2">
      <c r="A109" s="341"/>
      <c r="B109" s="445" t="s">
        <v>553</v>
      </c>
      <c r="C109" s="446"/>
      <c r="D109" s="445" t="s">
        <v>554</v>
      </c>
      <c r="E109" s="446"/>
      <c r="F109" s="341"/>
      <c r="G109" s="341"/>
      <c r="H109" s="341"/>
      <c r="I109" s="341"/>
      <c r="J109" s="341"/>
      <c r="K109" s="279"/>
      <c r="L109" s="279"/>
      <c r="M109" s="279"/>
      <c r="N109" s="279"/>
      <c r="O109" s="279"/>
      <c r="P109" s="279"/>
      <c r="Q109" s="279"/>
      <c r="R109" s="279"/>
      <c r="S109" s="279"/>
      <c r="T109" s="279"/>
      <c r="U109" s="279"/>
      <c r="V109" s="279"/>
      <c r="W109" s="279"/>
      <c r="X109" s="279"/>
      <c r="Y109" s="279"/>
      <c r="Z109" s="279"/>
      <c r="AA109" s="279"/>
      <c r="AB109" s="279"/>
      <c r="AC109" s="279"/>
      <c r="AD109" s="279"/>
      <c r="AE109" s="279"/>
      <c r="AF109" s="279"/>
      <c r="AG109" s="279"/>
      <c r="AH109" s="279"/>
      <c r="AI109" s="279"/>
      <c r="AJ109" s="279"/>
      <c r="AK109" s="279"/>
      <c r="AL109" s="279"/>
      <c r="AM109" s="279"/>
      <c r="AN109" s="279"/>
      <c r="AO109" s="279"/>
      <c r="AP109" s="279"/>
      <c r="AQ109" s="279"/>
      <c r="AR109" s="279"/>
      <c r="AS109" s="279"/>
      <c r="AT109" s="279"/>
      <c r="AU109" s="279"/>
      <c r="AV109" s="279"/>
      <c r="AW109" s="279"/>
      <c r="AX109" s="279"/>
    </row>
    <row r="110" spans="1:50" ht="12.75" hidden="1" x14ac:dyDescent="0.2">
      <c r="A110" s="344" t="s">
        <v>555</v>
      </c>
      <c r="B110" s="350"/>
      <c r="C110" s="341" t="s">
        <v>556</v>
      </c>
      <c r="D110" s="350">
        <f>'3.1. паспорт Техсостояние ПС'!O24</f>
        <v>0.5</v>
      </c>
      <c r="E110" s="341" t="s">
        <v>556</v>
      </c>
      <c r="F110" s="341"/>
      <c r="G110" s="341"/>
      <c r="H110" s="341"/>
      <c r="I110" s="341"/>
      <c r="J110" s="341"/>
      <c r="K110" s="279"/>
      <c r="L110" s="279"/>
      <c r="M110" s="279"/>
      <c r="N110" s="279"/>
      <c r="O110" s="279"/>
      <c r="P110" s="279"/>
      <c r="Q110" s="279"/>
      <c r="R110" s="279"/>
      <c r="S110" s="279"/>
      <c r="T110" s="279"/>
      <c r="U110" s="279"/>
      <c r="V110" s="279"/>
      <c r="W110" s="279"/>
      <c r="X110" s="279"/>
      <c r="Y110" s="279"/>
      <c r="Z110" s="279"/>
      <c r="AA110" s="279"/>
      <c r="AB110" s="279"/>
      <c r="AC110" s="279"/>
      <c r="AD110" s="279"/>
      <c r="AE110" s="279"/>
      <c r="AF110" s="279"/>
      <c r="AG110" s="279"/>
      <c r="AH110" s="279"/>
      <c r="AI110" s="279"/>
      <c r="AJ110" s="279"/>
      <c r="AK110" s="279"/>
      <c r="AL110" s="279"/>
      <c r="AM110" s="279"/>
      <c r="AN110" s="279"/>
      <c r="AO110" s="279"/>
      <c r="AP110" s="279"/>
      <c r="AQ110" s="279"/>
      <c r="AR110" s="279"/>
      <c r="AS110" s="279"/>
      <c r="AT110" s="279"/>
      <c r="AU110" s="279"/>
      <c r="AV110" s="279"/>
      <c r="AW110" s="279"/>
      <c r="AX110" s="279"/>
    </row>
    <row r="111" spans="1:50" ht="25.5" hidden="1" x14ac:dyDescent="0.2">
      <c r="A111" s="344" t="s">
        <v>555</v>
      </c>
      <c r="B111" s="341">
        <f>$B$103*B110</f>
        <v>0</v>
      </c>
      <c r="C111" s="341" t="s">
        <v>125</v>
      </c>
      <c r="D111" s="341">
        <f>$B$103*D110</f>
        <v>0.46500000000000002</v>
      </c>
      <c r="E111" s="341" t="s">
        <v>125</v>
      </c>
      <c r="F111" s="344" t="s">
        <v>557</v>
      </c>
      <c r="G111" s="341">
        <f>D110-B110</f>
        <v>0.5</v>
      </c>
      <c r="H111" s="341" t="s">
        <v>556</v>
      </c>
      <c r="I111" s="351">
        <f>$B$103*G111</f>
        <v>0.46500000000000002</v>
      </c>
      <c r="J111" s="341" t="s">
        <v>125</v>
      </c>
      <c r="K111" s="279"/>
      <c r="L111" s="279"/>
      <c r="M111" s="279"/>
      <c r="N111" s="279"/>
      <c r="O111" s="279"/>
      <c r="P111" s="279"/>
      <c r="Q111" s="279"/>
      <c r="R111" s="279"/>
      <c r="S111" s="279"/>
      <c r="T111" s="279"/>
      <c r="U111" s="279"/>
      <c r="V111" s="279"/>
      <c r="W111" s="279"/>
      <c r="X111" s="279"/>
      <c r="Y111" s="279"/>
      <c r="Z111" s="279"/>
      <c r="AA111" s="279"/>
      <c r="AB111" s="279"/>
      <c r="AC111" s="279"/>
      <c r="AD111" s="279"/>
      <c r="AE111" s="279"/>
      <c r="AF111" s="279"/>
      <c r="AG111" s="279"/>
      <c r="AH111" s="279"/>
      <c r="AI111" s="279"/>
      <c r="AJ111" s="279"/>
      <c r="AK111" s="279"/>
      <c r="AL111" s="279"/>
      <c r="AM111" s="279"/>
      <c r="AN111" s="279"/>
      <c r="AO111" s="279"/>
      <c r="AP111" s="279"/>
      <c r="AQ111" s="279"/>
      <c r="AR111" s="279"/>
      <c r="AS111" s="279"/>
      <c r="AT111" s="279"/>
      <c r="AU111" s="279"/>
      <c r="AV111" s="279"/>
      <c r="AW111" s="279"/>
      <c r="AX111" s="279"/>
    </row>
    <row r="112" spans="1:50" ht="25.5" hidden="1" x14ac:dyDescent="0.2">
      <c r="A112" s="341"/>
      <c r="B112" s="341"/>
      <c r="C112" s="341"/>
      <c r="D112" s="341"/>
      <c r="E112" s="341"/>
      <c r="F112" s="344" t="s">
        <v>558</v>
      </c>
      <c r="G112" s="341">
        <f>I112/$B$103</f>
        <v>0</v>
      </c>
      <c r="H112" s="341" t="s">
        <v>556</v>
      </c>
      <c r="I112" s="350"/>
      <c r="J112" s="341" t="s">
        <v>125</v>
      </c>
      <c r="K112" s="279"/>
      <c r="L112" s="279"/>
      <c r="M112" s="279"/>
      <c r="N112" s="279"/>
      <c r="O112" s="279"/>
      <c r="P112" s="279"/>
      <c r="Q112" s="279"/>
      <c r="R112" s="279"/>
      <c r="S112" s="279"/>
      <c r="T112" s="279"/>
      <c r="U112" s="279"/>
      <c r="V112" s="279"/>
      <c r="W112" s="279"/>
      <c r="X112" s="279"/>
      <c r="Y112" s="279"/>
      <c r="Z112" s="279"/>
      <c r="AA112" s="279"/>
      <c r="AB112" s="279"/>
      <c r="AC112" s="279"/>
      <c r="AD112" s="279"/>
      <c r="AE112" s="279"/>
      <c r="AF112" s="279"/>
      <c r="AG112" s="279"/>
      <c r="AH112" s="279"/>
      <c r="AI112" s="279"/>
      <c r="AJ112" s="279"/>
      <c r="AK112" s="279"/>
      <c r="AL112" s="279"/>
      <c r="AM112" s="279"/>
      <c r="AN112" s="279"/>
      <c r="AO112" s="279"/>
      <c r="AP112" s="279"/>
      <c r="AQ112" s="279"/>
      <c r="AR112" s="279"/>
      <c r="AS112" s="279"/>
      <c r="AT112" s="279"/>
      <c r="AU112" s="279"/>
      <c r="AV112" s="279"/>
      <c r="AW112" s="279"/>
      <c r="AX112" s="279"/>
    </row>
    <row r="113" spans="1:50" ht="38.25" hidden="1" x14ac:dyDescent="0.2">
      <c r="A113" s="352"/>
      <c r="B113" s="353"/>
      <c r="C113" s="353"/>
      <c r="D113" s="353"/>
      <c r="E113" s="353"/>
      <c r="F113" s="354" t="s">
        <v>559</v>
      </c>
      <c r="G113" s="351">
        <f>G111</f>
        <v>0.5</v>
      </c>
      <c r="H113" s="341" t="s">
        <v>556</v>
      </c>
      <c r="I113" s="346">
        <f>I111</f>
        <v>0.46500000000000002</v>
      </c>
      <c r="J113" s="341" t="s">
        <v>125</v>
      </c>
      <c r="K113" s="279"/>
      <c r="L113" s="279"/>
      <c r="M113" s="279"/>
      <c r="N113" s="279"/>
      <c r="O113" s="279"/>
      <c r="P113" s="279"/>
      <c r="Q113" s="279"/>
      <c r="R113" s="279"/>
      <c r="S113" s="279"/>
      <c r="T113" s="279"/>
      <c r="U113" s="279"/>
      <c r="V113" s="279"/>
      <c r="W113" s="279"/>
      <c r="X113" s="279"/>
      <c r="Y113" s="279"/>
      <c r="Z113" s="279"/>
      <c r="AA113" s="279"/>
      <c r="AB113" s="279"/>
      <c r="AC113" s="279"/>
      <c r="AD113" s="279"/>
      <c r="AE113" s="279"/>
      <c r="AF113" s="279"/>
      <c r="AG113" s="279"/>
      <c r="AH113" s="279"/>
      <c r="AI113" s="279"/>
      <c r="AJ113" s="279"/>
      <c r="AK113" s="279"/>
      <c r="AL113" s="279"/>
      <c r="AM113" s="279"/>
      <c r="AN113" s="279"/>
      <c r="AO113" s="279"/>
      <c r="AP113" s="279"/>
      <c r="AQ113" s="279"/>
      <c r="AR113" s="279"/>
      <c r="AS113" s="279"/>
      <c r="AT113" s="279"/>
      <c r="AU113" s="279"/>
      <c r="AV113" s="279"/>
      <c r="AW113" s="279"/>
      <c r="AX113" s="279"/>
    </row>
    <row r="114" spans="1:50" ht="12.75" hidden="1" x14ac:dyDescent="0.2">
      <c r="A114" s="282"/>
      <c r="B114" s="280"/>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79"/>
      <c r="AR114" s="279"/>
      <c r="AS114" s="279"/>
      <c r="AT114" s="279"/>
      <c r="AU114" s="279"/>
      <c r="AV114" s="279"/>
      <c r="AW114" s="279"/>
      <c r="AX114" s="279"/>
    </row>
    <row r="115" spans="1:50" hidden="1" x14ac:dyDescent="0.2">
      <c r="A115" s="355" t="s">
        <v>560</v>
      </c>
      <c r="B115" s="356"/>
      <c r="C115" s="280"/>
      <c r="D115" s="447" t="s">
        <v>251</v>
      </c>
      <c r="E115" s="283" t="s">
        <v>561</v>
      </c>
      <c r="F115" s="284">
        <v>35</v>
      </c>
      <c r="G115" s="448" t="s">
        <v>562</v>
      </c>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0"/>
      <c r="AR115" s="280"/>
      <c r="AS115" s="280"/>
      <c r="AT115" s="280"/>
      <c r="AU115" s="280"/>
      <c r="AV115" s="280"/>
      <c r="AW115" s="280"/>
      <c r="AX115" s="280"/>
    </row>
    <row r="116" spans="1:50" hidden="1" x14ac:dyDescent="0.2">
      <c r="A116" s="355" t="s">
        <v>251</v>
      </c>
      <c r="B116" s="357"/>
      <c r="C116" s="280"/>
      <c r="D116" s="447"/>
      <c r="E116" s="283" t="s">
        <v>529</v>
      </c>
      <c r="F116" s="284">
        <v>30</v>
      </c>
      <c r="G116" s="448"/>
      <c r="H116" s="280"/>
      <c r="I116" s="280"/>
      <c r="J116" s="280"/>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0"/>
      <c r="AR116" s="280"/>
      <c r="AS116" s="280"/>
      <c r="AT116" s="280"/>
      <c r="AU116" s="280"/>
      <c r="AV116" s="280"/>
      <c r="AW116" s="280"/>
      <c r="AX116" s="280"/>
    </row>
    <row r="117" spans="1:50" hidden="1" x14ac:dyDescent="0.2">
      <c r="A117" s="355" t="s">
        <v>563</v>
      </c>
      <c r="B117" s="357"/>
      <c r="C117" s="285" t="s">
        <v>564</v>
      </c>
      <c r="D117" s="447"/>
      <c r="E117" s="283" t="s">
        <v>565</v>
      </c>
      <c r="F117" s="284">
        <v>30</v>
      </c>
      <c r="G117" s="448"/>
      <c r="H117" s="280"/>
      <c r="I117" s="280"/>
      <c r="J117" s="280"/>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0"/>
      <c r="AR117" s="280"/>
      <c r="AS117" s="280"/>
      <c r="AT117" s="280"/>
      <c r="AU117" s="280"/>
      <c r="AV117" s="280"/>
      <c r="AW117" s="280"/>
      <c r="AX117" s="280"/>
    </row>
    <row r="118" spans="1:50" s="258" customFormat="1" hidden="1" x14ac:dyDescent="0.2">
      <c r="A118" s="358"/>
      <c r="B118" s="359"/>
      <c r="C118" s="286"/>
      <c r="D118" s="447"/>
      <c r="E118" s="283" t="s">
        <v>566</v>
      </c>
      <c r="F118" s="284">
        <v>30</v>
      </c>
      <c r="G118" s="448"/>
      <c r="H118" s="287"/>
      <c r="I118" s="287"/>
      <c r="J118" s="287"/>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7"/>
      <c r="AR118" s="287"/>
      <c r="AS118" s="287"/>
      <c r="AT118" s="287"/>
      <c r="AU118" s="287"/>
      <c r="AV118" s="287"/>
      <c r="AW118" s="287"/>
      <c r="AX118" s="287"/>
    </row>
    <row r="119" spans="1:50" ht="12.75" hidden="1" x14ac:dyDescent="0.2">
      <c r="A119" s="355" t="s">
        <v>567</v>
      </c>
      <c r="B119" s="360"/>
      <c r="C119" s="280"/>
      <c r="D119" s="280"/>
      <c r="E119" s="280"/>
      <c r="F119" s="280"/>
      <c r="G119" s="280"/>
      <c r="H119" s="280"/>
      <c r="I119" s="280"/>
      <c r="J119" s="280"/>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0"/>
      <c r="AR119" s="280"/>
      <c r="AS119" s="280"/>
      <c r="AT119" s="280"/>
      <c r="AU119" s="280"/>
      <c r="AV119" s="280"/>
      <c r="AW119" s="280"/>
      <c r="AX119" s="280"/>
    </row>
    <row r="120" spans="1:50" ht="12.75" hidden="1" x14ac:dyDescent="0.2">
      <c r="A120" s="355" t="s">
        <v>568</v>
      </c>
      <c r="B120" s="361"/>
      <c r="C120" s="280"/>
      <c r="D120" s="280"/>
      <c r="E120" s="280"/>
      <c r="F120" s="280"/>
      <c r="G120" s="280"/>
      <c r="H120" s="280"/>
      <c r="I120" s="280"/>
      <c r="J120" s="280"/>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0"/>
      <c r="AR120" s="280"/>
      <c r="AS120" s="280"/>
      <c r="AT120" s="280"/>
      <c r="AU120" s="280"/>
      <c r="AV120" s="280"/>
      <c r="AW120" s="280"/>
      <c r="AX120" s="280"/>
    </row>
    <row r="121" spans="1:50" ht="12.75" hidden="1" x14ac:dyDescent="0.2">
      <c r="A121" s="282"/>
      <c r="B121" s="288"/>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0"/>
      <c r="AR121" s="280"/>
      <c r="AS121" s="280"/>
      <c r="AT121" s="280"/>
      <c r="AU121" s="280"/>
      <c r="AV121" s="280"/>
      <c r="AW121" s="280"/>
      <c r="AX121" s="280"/>
    </row>
    <row r="122" spans="1:50" ht="12.75" hidden="1" x14ac:dyDescent="0.2">
      <c r="A122" s="355" t="s">
        <v>569</v>
      </c>
      <c r="B122" s="362"/>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row>
    <row r="123" spans="1:50" hidden="1" x14ac:dyDescent="0.2">
      <c r="A123" s="363"/>
      <c r="B123" s="364"/>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row>
    <row r="124" spans="1:50" ht="15" hidden="1" x14ac:dyDescent="0.2">
      <c r="A124" s="390"/>
      <c r="B124" s="391">
        <v>2024</v>
      </c>
      <c r="C124" s="392">
        <v>2025</v>
      </c>
      <c r="D124" s="392">
        <v>2026</v>
      </c>
      <c r="E124" s="392">
        <v>2027</v>
      </c>
      <c r="F124" s="392">
        <v>2028</v>
      </c>
      <c r="G124" s="392">
        <v>2029</v>
      </c>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row>
    <row r="125" spans="1:50" ht="12.75" hidden="1" x14ac:dyDescent="0.2">
      <c r="A125" s="393" t="s">
        <v>638</v>
      </c>
      <c r="B125" s="389">
        <v>2457.5300000000002</v>
      </c>
      <c r="C125" s="389">
        <v>2671.66</v>
      </c>
      <c r="D125" s="389">
        <v>2862.69</v>
      </c>
      <c r="E125" s="389">
        <v>3055.31</v>
      </c>
      <c r="F125" s="389">
        <v>3159.99</v>
      </c>
      <c r="G125" s="389">
        <v>3286.39</v>
      </c>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c r="AH125" s="280"/>
      <c r="AI125" s="280"/>
      <c r="AJ125" s="280"/>
      <c r="AK125" s="280"/>
      <c r="AL125" s="280"/>
      <c r="AM125" s="280"/>
      <c r="AN125" s="280"/>
      <c r="AO125" s="280"/>
      <c r="AP125" s="280"/>
      <c r="AQ125" s="280"/>
      <c r="AR125" s="280"/>
      <c r="AS125" s="280"/>
      <c r="AT125" s="280"/>
      <c r="AU125" s="280"/>
      <c r="AV125" s="280"/>
      <c r="AW125" s="280"/>
      <c r="AX125" s="280"/>
    </row>
    <row r="126" spans="1:50" ht="12.75" hidden="1" x14ac:dyDescent="0.2">
      <c r="A126" s="282"/>
      <c r="B126" s="280"/>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M126" s="280"/>
      <c r="AN126" s="280"/>
      <c r="AO126" s="280"/>
      <c r="AP126" s="280"/>
      <c r="AQ126" s="280"/>
      <c r="AR126" s="280"/>
      <c r="AS126" s="280"/>
      <c r="AT126" s="280"/>
      <c r="AU126" s="280"/>
      <c r="AV126" s="280"/>
      <c r="AW126" s="280"/>
      <c r="AX126" s="280"/>
    </row>
    <row r="127" spans="1:50" hidden="1" x14ac:dyDescent="0.2">
      <c r="A127" s="355" t="s">
        <v>570</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M127" s="287"/>
      <c r="AN127" s="287"/>
      <c r="AO127" s="287"/>
      <c r="AP127" s="287"/>
      <c r="AQ127" s="287"/>
      <c r="AR127" s="287"/>
      <c r="AS127" s="287"/>
      <c r="AT127" s="287"/>
      <c r="AU127" s="287"/>
      <c r="AV127" s="287"/>
      <c r="AW127" s="287"/>
      <c r="AX127" s="287"/>
    </row>
    <row r="128" spans="1:50" ht="12.75" hidden="1" x14ac:dyDescent="0.2">
      <c r="A128" s="355"/>
      <c r="B128" s="365">
        <v>2023</v>
      </c>
      <c r="C128" s="365">
        <f>B128+1</f>
        <v>2024</v>
      </c>
      <c r="D128" s="365">
        <f t="shared" ref="D128:AF128" si="39">C128+1</f>
        <v>2025</v>
      </c>
      <c r="E128" s="365">
        <f t="shared" si="39"/>
        <v>2026</v>
      </c>
      <c r="F128" s="365">
        <f t="shared" si="39"/>
        <v>2027</v>
      </c>
      <c r="G128" s="365">
        <f t="shared" si="39"/>
        <v>2028</v>
      </c>
      <c r="H128" s="365">
        <f t="shared" si="39"/>
        <v>2029</v>
      </c>
      <c r="I128" s="365">
        <f t="shared" si="39"/>
        <v>2030</v>
      </c>
      <c r="J128" s="365">
        <f t="shared" si="39"/>
        <v>2031</v>
      </c>
      <c r="K128" s="365">
        <f t="shared" si="39"/>
        <v>2032</v>
      </c>
      <c r="L128" s="365">
        <f t="shared" si="39"/>
        <v>2033</v>
      </c>
      <c r="M128" s="365">
        <f t="shared" si="39"/>
        <v>2034</v>
      </c>
      <c r="N128" s="365">
        <f t="shared" si="39"/>
        <v>2035</v>
      </c>
      <c r="O128" s="365">
        <f t="shared" si="39"/>
        <v>2036</v>
      </c>
      <c r="P128" s="365">
        <f t="shared" si="39"/>
        <v>2037</v>
      </c>
      <c r="Q128" s="365">
        <f t="shared" si="39"/>
        <v>2038</v>
      </c>
      <c r="R128" s="365">
        <f t="shared" si="39"/>
        <v>2039</v>
      </c>
      <c r="S128" s="365">
        <f t="shared" si="39"/>
        <v>2040</v>
      </c>
      <c r="T128" s="365">
        <f t="shared" si="39"/>
        <v>2041</v>
      </c>
      <c r="U128" s="365">
        <f t="shared" si="39"/>
        <v>2042</v>
      </c>
      <c r="V128" s="365">
        <f t="shared" si="39"/>
        <v>2043</v>
      </c>
      <c r="W128" s="365">
        <f t="shared" si="39"/>
        <v>2044</v>
      </c>
      <c r="X128" s="365">
        <f t="shared" si="39"/>
        <v>2045</v>
      </c>
      <c r="Y128" s="365">
        <f t="shared" si="39"/>
        <v>2046</v>
      </c>
      <c r="Z128" s="365">
        <f t="shared" si="39"/>
        <v>2047</v>
      </c>
      <c r="AA128" s="365">
        <f t="shared" si="39"/>
        <v>2048</v>
      </c>
      <c r="AB128" s="365">
        <f t="shared" si="39"/>
        <v>2049</v>
      </c>
      <c r="AC128" s="365">
        <f t="shared" si="39"/>
        <v>2050</v>
      </c>
      <c r="AD128" s="365">
        <f t="shared" si="39"/>
        <v>2051</v>
      </c>
      <c r="AE128" s="365">
        <f t="shared" si="39"/>
        <v>2052</v>
      </c>
      <c r="AF128" s="365">
        <f t="shared" si="39"/>
        <v>2053</v>
      </c>
      <c r="AH128" s="280"/>
      <c r="AI128" s="280"/>
    </row>
    <row r="129" spans="1:50" ht="12.75" hidden="1" x14ac:dyDescent="0.2">
      <c r="A129" s="355" t="s">
        <v>571</v>
      </c>
      <c r="B129" s="388">
        <v>9.0964662608273128E-2</v>
      </c>
      <c r="C129" s="388">
        <v>9.1135032622053413E-2</v>
      </c>
      <c r="D129" s="388">
        <v>7.8163170639641913E-2</v>
      </c>
      <c r="E129" s="388">
        <v>5.2628968689616612E-2</v>
      </c>
      <c r="F129" s="388">
        <v>4.4208979893394937E-2</v>
      </c>
      <c r="G129" s="388">
        <f>F129</f>
        <v>4.4208979893394937E-2</v>
      </c>
      <c r="H129" s="388">
        <f t="shared" ref="H129:AG129" si="40">G129</f>
        <v>4.4208979893394937E-2</v>
      </c>
      <c r="I129" s="388">
        <f t="shared" si="40"/>
        <v>4.4208979893394937E-2</v>
      </c>
      <c r="J129" s="388">
        <f t="shared" si="40"/>
        <v>4.4208979893394937E-2</v>
      </c>
      <c r="K129" s="388">
        <f t="shared" si="40"/>
        <v>4.4208979893394937E-2</v>
      </c>
      <c r="L129" s="388">
        <f t="shared" si="40"/>
        <v>4.4208979893394937E-2</v>
      </c>
      <c r="M129" s="388">
        <f t="shared" si="40"/>
        <v>4.4208979893394937E-2</v>
      </c>
      <c r="N129" s="388">
        <f t="shared" si="40"/>
        <v>4.4208979893394937E-2</v>
      </c>
      <c r="O129" s="388">
        <f t="shared" si="40"/>
        <v>4.4208979893394937E-2</v>
      </c>
      <c r="P129" s="388">
        <f t="shared" si="40"/>
        <v>4.4208979893394937E-2</v>
      </c>
      <c r="Q129" s="388">
        <f t="shared" si="40"/>
        <v>4.4208979893394937E-2</v>
      </c>
      <c r="R129" s="388">
        <f t="shared" si="40"/>
        <v>4.4208979893394937E-2</v>
      </c>
      <c r="S129" s="388">
        <f t="shared" si="40"/>
        <v>4.4208979893394937E-2</v>
      </c>
      <c r="T129" s="388">
        <f t="shared" si="40"/>
        <v>4.4208979893394937E-2</v>
      </c>
      <c r="U129" s="388">
        <f t="shared" si="40"/>
        <v>4.4208979893394937E-2</v>
      </c>
      <c r="V129" s="388">
        <f t="shared" si="40"/>
        <v>4.4208979893394937E-2</v>
      </c>
      <c r="W129" s="388">
        <f t="shared" si="40"/>
        <v>4.4208979893394937E-2</v>
      </c>
      <c r="X129" s="388">
        <f t="shared" si="40"/>
        <v>4.4208979893394937E-2</v>
      </c>
      <c r="Y129" s="388">
        <f t="shared" si="40"/>
        <v>4.4208979893394937E-2</v>
      </c>
      <c r="Z129" s="388">
        <f t="shared" si="40"/>
        <v>4.4208979893394937E-2</v>
      </c>
      <c r="AA129" s="388">
        <f t="shared" si="40"/>
        <v>4.4208979893394937E-2</v>
      </c>
      <c r="AB129" s="388">
        <f t="shared" si="40"/>
        <v>4.4208979893394937E-2</v>
      </c>
      <c r="AC129" s="388">
        <f t="shared" si="40"/>
        <v>4.4208979893394937E-2</v>
      </c>
      <c r="AD129" s="388">
        <f t="shared" si="40"/>
        <v>4.4208979893394937E-2</v>
      </c>
      <c r="AE129" s="388">
        <f t="shared" si="40"/>
        <v>4.4208979893394937E-2</v>
      </c>
      <c r="AF129" s="388">
        <f t="shared" si="40"/>
        <v>4.4208979893394937E-2</v>
      </c>
      <c r="AG129" s="388">
        <f t="shared" si="40"/>
        <v>4.4208979893394937E-2</v>
      </c>
      <c r="AH129" s="280"/>
      <c r="AI129" s="280"/>
    </row>
    <row r="130" spans="1:50" s="258" customFormat="1" ht="15" hidden="1" x14ac:dyDescent="0.2">
      <c r="A130" s="355" t="s">
        <v>572</v>
      </c>
      <c r="B130" s="367">
        <f>B129</f>
        <v>9.0964662608273128E-2</v>
      </c>
      <c r="C130" s="367">
        <f>(1+B130)*(1+C129)-1</f>
        <v>0.19038976272458563</v>
      </c>
      <c r="D130" s="367">
        <f>(1+C130)*(1+D129)-1</f>
        <v>0.28343440087611027</v>
      </c>
      <c r="E130" s="367">
        <f>(1+D130)*(1+E129)-1</f>
        <v>0.35098022977499599</v>
      </c>
      <c r="F130" s="367">
        <f t="shared" ref="F130:AF130" si="41">(1+E130)*(1+F129)-1</f>
        <v>0.41070568758949277</v>
      </c>
      <c r="G130" s="367">
        <f>(1+F130)*(1+G129)-1</f>
        <v>0.47307154696763454</v>
      </c>
      <c r="H130" s="367">
        <f t="shared" si="41"/>
        <v>0.53819453736905887</v>
      </c>
      <c r="I130" s="367">
        <f t="shared" si="41"/>
        <v>0.60619654874373752</v>
      </c>
      <c r="J130" s="367">
        <f t="shared" si="41"/>
        <v>0.67720485967198973</v>
      </c>
      <c r="K130" s="367">
        <f t="shared" si="41"/>
        <v>0.75135237559033285</v>
      </c>
      <c r="L130" s="367">
        <f t="shared" si="41"/>
        <v>0.8287778775490553</v>
      </c>
      <c r="M130" s="367">
        <f t="shared" si="41"/>
        <v>0.90962628196710682</v>
      </c>
      <c r="N130" s="367">
        <f t="shared" si="41"/>
        <v>0.99404891187048916</v>
      </c>
      <c r="O130" s="367">
        <f t="shared" si="41"/>
        <v>1.0822037801218176</v>
      </c>
      <c r="P130" s="367">
        <f t="shared" si="41"/>
        <v>1.1742558851711737</v>
      </c>
      <c r="Q130" s="367">
        <f t="shared" si="41"/>
        <v>1.2703775198818015</v>
      </c>
      <c r="R130" s="367">
        <f t="shared" si="41"/>
        <v>1.3707485940086719</v>
      </c>
      <c r="S130" s="367">
        <f t="shared" si="41"/>
        <v>1.4755569709334955</v>
      </c>
      <c r="T130" s="367">
        <f t="shared" si="41"/>
        <v>1.5849988192864481</v>
      </c>
      <c r="U130" s="367">
        <f t="shared" si="41"/>
        <v>1.6992789801127324</v>
      </c>
      <c r="V130" s="367">
        <f t="shared" si="41"/>
        <v>1.8186113502711998</v>
      </c>
      <c r="W130" s="367">
        <f t="shared" si="41"/>
        <v>1.9432192827826338</v>
      </c>
      <c r="X130" s="367">
        <f t="shared" si="41"/>
        <v>2.0733360048770235</v>
      </c>
      <c r="Y130" s="367">
        <f t="shared" si="41"/>
        <v>2.2092050545222786</v>
      </c>
      <c r="Z130" s="367">
        <f t="shared" si="41"/>
        <v>2.3510807362514354</v>
      </c>
      <c r="AA130" s="367">
        <f t="shared" si="41"/>
        <v>2.499228597141518</v>
      </c>
      <c r="AB130" s="367">
        <f t="shared" si="41"/>
        <v>2.6539259238349397</v>
      </c>
      <c r="AC130" s="367">
        <f t="shared" si="41"/>
        <v>2.815462261533713</v>
      </c>
      <c r="AD130" s="367">
        <f t="shared" si="41"/>
        <v>2.9841399559378639</v>
      </c>
      <c r="AE130" s="367">
        <f t="shared" si="41"/>
        <v>3.1602747191423921</v>
      </c>
      <c r="AF130" s="367">
        <f t="shared" si="41"/>
        <v>3.3441962205519573</v>
      </c>
      <c r="AH130" s="280"/>
      <c r="AI130" s="280"/>
    </row>
    <row r="131" spans="1:50" s="258" customFormat="1" hidden="1" x14ac:dyDescent="0.2">
      <c r="A131" s="289"/>
      <c r="B131" s="368"/>
      <c r="C131" s="369"/>
      <c r="D131" s="369"/>
      <c r="E131" s="369"/>
      <c r="F131" s="369"/>
      <c r="G131" s="369"/>
      <c r="H131" s="369"/>
      <c r="I131" s="369"/>
      <c r="J131" s="369"/>
      <c r="K131" s="369"/>
      <c r="L131" s="369"/>
      <c r="M131" s="369"/>
      <c r="N131" s="369"/>
      <c r="O131" s="369"/>
      <c r="P131" s="369"/>
      <c r="Q131" s="369"/>
      <c r="R131" s="369"/>
      <c r="S131" s="369"/>
      <c r="T131" s="369"/>
      <c r="U131" s="369"/>
      <c r="V131" s="369"/>
      <c r="W131" s="369"/>
      <c r="X131" s="369"/>
      <c r="Y131" s="369"/>
      <c r="Z131" s="369"/>
      <c r="AA131" s="369"/>
      <c r="AB131" s="369"/>
      <c r="AC131" s="369"/>
      <c r="AD131" s="369"/>
      <c r="AE131" s="369"/>
      <c r="AF131" s="369"/>
      <c r="AH131" s="280"/>
      <c r="AI131" s="280"/>
    </row>
    <row r="132" spans="1:50" ht="12.75" hidden="1" x14ac:dyDescent="0.2">
      <c r="A132" s="282"/>
      <c r="B132" s="366">
        <v>2023</v>
      </c>
      <c r="C132" s="366">
        <f>B132+1</f>
        <v>2024</v>
      </c>
      <c r="D132" s="366">
        <f t="shared" ref="D132:S133" si="42">C132+1</f>
        <v>2025</v>
      </c>
      <c r="E132" s="366">
        <f t="shared" si="42"/>
        <v>2026</v>
      </c>
      <c r="F132" s="366">
        <f t="shared" si="42"/>
        <v>2027</v>
      </c>
      <c r="G132" s="366">
        <f t="shared" si="42"/>
        <v>2028</v>
      </c>
      <c r="H132" s="366">
        <f t="shared" si="42"/>
        <v>2029</v>
      </c>
      <c r="I132" s="366">
        <f t="shared" si="42"/>
        <v>2030</v>
      </c>
      <c r="J132" s="366">
        <f t="shared" si="42"/>
        <v>2031</v>
      </c>
      <c r="K132" s="366">
        <f t="shared" si="42"/>
        <v>2032</v>
      </c>
      <c r="L132" s="366">
        <f t="shared" si="42"/>
        <v>2033</v>
      </c>
      <c r="M132" s="366">
        <f t="shared" si="42"/>
        <v>2034</v>
      </c>
      <c r="N132" s="366">
        <f t="shared" si="42"/>
        <v>2035</v>
      </c>
      <c r="O132" s="366">
        <f t="shared" si="42"/>
        <v>2036</v>
      </c>
      <c r="P132" s="366">
        <f t="shared" si="42"/>
        <v>2037</v>
      </c>
      <c r="Q132" s="366">
        <f t="shared" si="42"/>
        <v>2038</v>
      </c>
      <c r="R132" s="366">
        <f t="shared" si="42"/>
        <v>2039</v>
      </c>
      <c r="S132" s="366">
        <f t="shared" si="42"/>
        <v>2040</v>
      </c>
      <c r="T132" s="366">
        <f t="shared" ref="T132:AF133" si="43">S132+1</f>
        <v>2041</v>
      </c>
      <c r="U132" s="366">
        <f t="shared" si="43"/>
        <v>2042</v>
      </c>
      <c r="V132" s="366">
        <f t="shared" si="43"/>
        <v>2043</v>
      </c>
      <c r="W132" s="366">
        <f t="shared" si="43"/>
        <v>2044</v>
      </c>
      <c r="X132" s="366">
        <f t="shared" si="43"/>
        <v>2045</v>
      </c>
      <c r="Y132" s="366">
        <f t="shared" si="43"/>
        <v>2046</v>
      </c>
      <c r="Z132" s="366">
        <f t="shared" si="43"/>
        <v>2047</v>
      </c>
      <c r="AA132" s="366">
        <f t="shared" si="43"/>
        <v>2048</v>
      </c>
      <c r="AB132" s="366">
        <f t="shared" si="43"/>
        <v>2049</v>
      </c>
      <c r="AC132" s="366">
        <f t="shared" si="43"/>
        <v>2050</v>
      </c>
      <c r="AD132" s="366">
        <f t="shared" si="43"/>
        <v>2051</v>
      </c>
      <c r="AE132" s="366">
        <f t="shared" si="43"/>
        <v>2052</v>
      </c>
      <c r="AF132" s="366">
        <f t="shared" si="43"/>
        <v>2053</v>
      </c>
      <c r="AG132" s="280"/>
      <c r="AH132" s="280"/>
      <c r="AI132" s="280"/>
      <c r="AJ132" s="280"/>
      <c r="AK132" s="280"/>
      <c r="AL132" s="280"/>
      <c r="AM132" s="280"/>
      <c r="AN132" s="280"/>
      <c r="AO132" s="280"/>
      <c r="AP132" s="280"/>
      <c r="AQ132" s="280"/>
      <c r="AR132" s="280"/>
      <c r="AS132" s="280"/>
      <c r="AT132" s="280"/>
      <c r="AU132" s="280"/>
      <c r="AV132" s="280"/>
      <c r="AW132" s="280"/>
      <c r="AX132" s="280"/>
    </row>
    <row r="133" spans="1:50" hidden="1" x14ac:dyDescent="0.2">
      <c r="A133" s="282"/>
      <c r="B133" s="370">
        <v>1</v>
      </c>
      <c r="C133" s="370">
        <v>2</v>
      </c>
      <c r="D133" s="370">
        <v>3</v>
      </c>
      <c r="E133" s="370">
        <f>D133+1</f>
        <v>4</v>
      </c>
      <c r="F133" s="370">
        <f t="shared" si="42"/>
        <v>5</v>
      </c>
      <c r="G133" s="370">
        <f t="shared" si="42"/>
        <v>6</v>
      </c>
      <c r="H133" s="370">
        <f t="shared" si="42"/>
        <v>7</v>
      </c>
      <c r="I133" s="370">
        <f t="shared" si="42"/>
        <v>8</v>
      </c>
      <c r="J133" s="370">
        <f t="shared" si="42"/>
        <v>9</v>
      </c>
      <c r="K133" s="370">
        <f t="shared" si="42"/>
        <v>10</v>
      </c>
      <c r="L133" s="370">
        <f t="shared" si="42"/>
        <v>11</v>
      </c>
      <c r="M133" s="370">
        <f t="shared" si="42"/>
        <v>12</v>
      </c>
      <c r="N133" s="370">
        <f t="shared" si="42"/>
        <v>13</v>
      </c>
      <c r="O133" s="370">
        <f t="shared" si="42"/>
        <v>14</v>
      </c>
      <c r="P133" s="370">
        <f t="shared" si="42"/>
        <v>15</v>
      </c>
      <c r="Q133" s="370">
        <f t="shared" si="42"/>
        <v>16</v>
      </c>
      <c r="R133" s="370">
        <f t="shared" si="42"/>
        <v>17</v>
      </c>
      <c r="S133" s="370">
        <f t="shared" si="42"/>
        <v>18</v>
      </c>
      <c r="T133" s="370">
        <f t="shared" si="43"/>
        <v>19</v>
      </c>
      <c r="U133" s="370">
        <f t="shared" si="43"/>
        <v>20</v>
      </c>
      <c r="V133" s="370">
        <f t="shared" si="43"/>
        <v>21</v>
      </c>
      <c r="W133" s="370">
        <f t="shared" si="43"/>
        <v>22</v>
      </c>
      <c r="X133" s="370">
        <f t="shared" si="43"/>
        <v>23</v>
      </c>
      <c r="Y133" s="370">
        <f t="shared" si="43"/>
        <v>24</v>
      </c>
      <c r="Z133" s="370">
        <f t="shared" si="43"/>
        <v>25</v>
      </c>
      <c r="AA133" s="370">
        <f t="shared" si="43"/>
        <v>26</v>
      </c>
      <c r="AB133" s="370">
        <f t="shared" si="43"/>
        <v>27</v>
      </c>
      <c r="AC133" s="370">
        <f t="shared" si="43"/>
        <v>28</v>
      </c>
      <c r="AD133" s="370">
        <f t="shared" si="43"/>
        <v>29</v>
      </c>
      <c r="AE133" s="370">
        <f t="shared" si="43"/>
        <v>30</v>
      </c>
      <c r="AF133" s="370">
        <f t="shared" si="43"/>
        <v>31</v>
      </c>
      <c r="AG133" s="280"/>
      <c r="AH133" s="280"/>
      <c r="AI133" s="280"/>
      <c r="AJ133" s="280"/>
      <c r="AK133" s="280"/>
      <c r="AL133" s="280"/>
      <c r="AM133" s="280"/>
      <c r="AN133" s="280"/>
      <c r="AO133" s="280"/>
      <c r="AP133" s="280"/>
      <c r="AQ133" s="280"/>
      <c r="AR133" s="280"/>
      <c r="AS133" s="280"/>
      <c r="AT133" s="280"/>
      <c r="AU133" s="280"/>
      <c r="AV133" s="280"/>
      <c r="AW133" s="280"/>
      <c r="AX133" s="280"/>
    </row>
    <row r="134" spans="1:50" ht="15" hidden="1" x14ac:dyDescent="0.2">
      <c r="A134" s="282"/>
      <c r="B134" s="371">
        <v>0.5</v>
      </c>
      <c r="C134" s="371">
        <f>AVERAGE(B133:C133)</f>
        <v>1.5</v>
      </c>
      <c r="D134" s="371">
        <f>AVERAGE(C133:D133)</f>
        <v>2.5</v>
      </c>
      <c r="E134" s="371">
        <f>AVERAGE(D133:E133)</f>
        <v>3.5</v>
      </c>
      <c r="F134" s="371">
        <f t="shared" ref="F134:AF134" si="44">AVERAGE(E133:F133)</f>
        <v>4.5</v>
      </c>
      <c r="G134" s="371">
        <f t="shared" si="44"/>
        <v>5.5</v>
      </c>
      <c r="H134" s="371">
        <f t="shared" si="44"/>
        <v>6.5</v>
      </c>
      <c r="I134" s="371">
        <f t="shared" si="44"/>
        <v>7.5</v>
      </c>
      <c r="J134" s="371">
        <f t="shared" si="44"/>
        <v>8.5</v>
      </c>
      <c r="K134" s="371">
        <f t="shared" si="44"/>
        <v>9.5</v>
      </c>
      <c r="L134" s="371">
        <f t="shared" si="44"/>
        <v>10.5</v>
      </c>
      <c r="M134" s="371">
        <f t="shared" si="44"/>
        <v>11.5</v>
      </c>
      <c r="N134" s="371">
        <f t="shared" si="44"/>
        <v>12.5</v>
      </c>
      <c r="O134" s="371">
        <f t="shared" si="44"/>
        <v>13.5</v>
      </c>
      <c r="P134" s="371">
        <f t="shared" si="44"/>
        <v>14.5</v>
      </c>
      <c r="Q134" s="371">
        <f t="shared" si="44"/>
        <v>15.5</v>
      </c>
      <c r="R134" s="371">
        <f t="shared" si="44"/>
        <v>16.5</v>
      </c>
      <c r="S134" s="371">
        <f t="shared" si="44"/>
        <v>17.5</v>
      </c>
      <c r="T134" s="371">
        <f t="shared" si="44"/>
        <v>18.5</v>
      </c>
      <c r="U134" s="371">
        <f t="shared" si="44"/>
        <v>19.5</v>
      </c>
      <c r="V134" s="371">
        <f t="shared" si="44"/>
        <v>20.5</v>
      </c>
      <c r="W134" s="371">
        <f t="shared" si="44"/>
        <v>21.5</v>
      </c>
      <c r="X134" s="371">
        <f t="shared" si="44"/>
        <v>22.5</v>
      </c>
      <c r="Y134" s="371">
        <f t="shared" si="44"/>
        <v>23.5</v>
      </c>
      <c r="Z134" s="371">
        <f t="shared" si="44"/>
        <v>24.5</v>
      </c>
      <c r="AA134" s="371">
        <f t="shared" si="44"/>
        <v>25.5</v>
      </c>
      <c r="AB134" s="371">
        <f t="shared" si="44"/>
        <v>26.5</v>
      </c>
      <c r="AC134" s="371">
        <f t="shared" si="44"/>
        <v>27.5</v>
      </c>
      <c r="AD134" s="371">
        <f t="shared" si="44"/>
        <v>28.5</v>
      </c>
      <c r="AE134" s="371">
        <f t="shared" si="44"/>
        <v>29.5</v>
      </c>
      <c r="AF134" s="371">
        <f t="shared" si="44"/>
        <v>30.5</v>
      </c>
      <c r="AG134" s="280"/>
      <c r="AH134" s="280"/>
      <c r="AI134" s="280"/>
      <c r="AJ134" s="280"/>
      <c r="AK134" s="280"/>
      <c r="AL134" s="280"/>
      <c r="AM134" s="280"/>
      <c r="AN134" s="280"/>
      <c r="AO134" s="280"/>
      <c r="AP134" s="280"/>
      <c r="AQ134" s="280"/>
      <c r="AR134" s="280"/>
      <c r="AS134" s="280"/>
      <c r="AT134" s="280"/>
      <c r="AU134" s="280"/>
      <c r="AV134" s="280"/>
      <c r="AW134" s="280"/>
      <c r="AX134" s="280"/>
    </row>
    <row r="135" spans="1:50" ht="12.75" hidden="1" x14ac:dyDescent="0.2">
      <c r="A135" s="282"/>
      <c r="B135" s="280"/>
      <c r="C135" s="280"/>
      <c r="D135" s="280"/>
      <c r="E135" s="280"/>
      <c r="F135" s="280"/>
      <c r="G135" s="280"/>
      <c r="H135" s="280"/>
      <c r="I135" s="280"/>
      <c r="J135" s="280"/>
      <c r="K135" s="280"/>
      <c r="L135" s="280"/>
      <c r="M135" s="280"/>
      <c r="N135" s="280"/>
      <c r="O135" s="280"/>
      <c r="P135" s="280"/>
      <c r="Q135" s="280"/>
      <c r="R135" s="280"/>
      <c r="S135" s="280"/>
      <c r="T135" s="280"/>
      <c r="U135" s="280"/>
      <c r="V135" s="280"/>
      <c r="W135" s="280"/>
      <c r="X135" s="280"/>
      <c r="Y135" s="280"/>
      <c r="Z135" s="280"/>
      <c r="AA135" s="280"/>
      <c r="AB135" s="280"/>
      <c r="AC135" s="280"/>
      <c r="AD135" s="280"/>
      <c r="AE135" s="280"/>
      <c r="AF135" s="280"/>
      <c r="AG135" s="280"/>
      <c r="AH135" s="280"/>
      <c r="AI135" s="280"/>
      <c r="AJ135" s="280"/>
      <c r="AK135" s="280"/>
      <c r="AL135" s="280"/>
      <c r="AM135" s="280"/>
      <c r="AN135" s="280"/>
      <c r="AO135" s="280"/>
      <c r="AP135" s="280"/>
      <c r="AQ135" s="280"/>
      <c r="AR135" s="280"/>
      <c r="AS135" s="280"/>
      <c r="AT135" s="280"/>
      <c r="AU135" s="280"/>
      <c r="AV135" s="280"/>
      <c r="AW135" s="280"/>
      <c r="AX135" s="280"/>
    </row>
    <row r="136" spans="1:50" ht="12.75" hidden="1" x14ac:dyDescent="0.2">
      <c r="A136" s="282"/>
      <c r="B136" s="280"/>
      <c r="C136" s="280"/>
      <c r="D136" s="280"/>
      <c r="E136" s="280"/>
      <c r="F136" s="280"/>
      <c r="G136" s="280"/>
      <c r="H136" s="280"/>
      <c r="I136" s="280"/>
      <c r="J136" s="280"/>
      <c r="K136" s="280"/>
      <c r="L136" s="280"/>
      <c r="M136" s="280"/>
      <c r="N136" s="280"/>
      <c r="O136" s="280"/>
      <c r="P136" s="280"/>
      <c r="Q136" s="280"/>
      <c r="R136" s="280"/>
      <c r="S136" s="280"/>
      <c r="T136" s="280"/>
      <c r="U136" s="280"/>
      <c r="V136" s="280"/>
      <c r="W136" s="280"/>
      <c r="X136" s="280"/>
      <c r="Y136" s="280"/>
      <c r="Z136" s="280"/>
      <c r="AA136" s="280"/>
      <c r="AB136" s="280"/>
      <c r="AC136" s="280"/>
      <c r="AD136" s="280"/>
      <c r="AE136" s="280"/>
      <c r="AF136" s="280"/>
      <c r="AG136" s="280"/>
      <c r="AH136" s="280"/>
      <c r="AI136" s="280"/>
      <c r="AJ136" s="280"/>
      <c r="AK136" s="280"/>
      <c r="AL136" s="280"/>
      <c r="AM136" s="280"/>
      <c r="AN136" s="280"/>
      <c r="AO136" s="280"/>
      <c r="AP136" s="280"/>
      <c r="AQ136" s="280"/>
      <c r="AR136" s="280"/>
      <c r="AS136" s="280"/>
      <c r="AT136" s="280"/>
      <c r="AU136" s="280"/>
      <c r="AV136" s="280"/>
      <c r="AW136" s="280"/>
      <c r="AX136" s="280"/>
    </row>
    <row r="137" spans="1:50" ht="12.75" hidden="1" x14ac:dyDescent="0.2">
      <c r="A137" s="282"/>
      <c r="B137" s="280"/>
      <c r="C137" s="280"/>
      <c r="D137" s="280"/>
      <c r="E137" s="280"/>
      <c r="F137" s="280"/>
      <c r="G137" s="280"/>
      <c r="H137" s="280"/>
      <c r="I137" s="280"/>
      <c r="J137" s="280"/>
      <c r="K137" s="280"/>
      <c r="L137" s="280"/>
      <c r="M137" s="280"/>
      <c r="N137" s="280"/>
      <c r="O137" s="280"/>
      <c r="P137" s="280"/>
      <c r="Q137" s="280"/>
      <c r="R137" s="280"/>
      <c r="S137" s="280"/>
      <c r="T137" s="280"/>
      <c r="U137" s="280"/>
      <c r="V137" s="280"/>
      <c r="W137" s="280"/>
      <c r="X137" s="280"/>
      <c r="Y137" s="280"/>
      <c r="Z137" s="280"/>
      <c r="AA137" s="280"/>
      <c r="AB137" s="280"/>
      <c r="AC137" s="280"/>
      <c r="AD137" s="280"/>
      <c r="AE137" s="280"/>
      <c r="AF137" s="280"/>
      <c r="AG137" s="280"/>
      <c r="AH137" s="280"/>
      <c r="AI137" s="280"/>
      <c r="AJ137" s="280"/>
      <c r="AK137" s="280"/>
      <c r="AL137" s="280"/>
      <c r="AM137" s="280"/>
      <c r="AN137" s="280"/>
      <c r="AO137" s="280"/>
      <c r="AP137" s="280"/>
      <c r="AQ137" s="280"/>
      <c r="AR137" s="280"/>
      <c r="AS137" s="280"/>
      <c r="AT137" s="280"/>
      <c r="AU137" s="280"/>
      <c r="AV137" s="280"/>
      <c r="AW137" s="280"/>
      <c r="AX137" s="280"/>
    </row>
    <row r="138" spans="1:50" ht="12.75" hidden="1" x14ac:dyDescent="0.2">
      <c r="A138" s="282"/>
      <c r="B138" s="280"/>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c r="Y138" s="280"/>
      <c r="Z138" s="280"/>
      <c r="AA138" s="280"/>
      <c r="AB138" s="280"/>
      <c r="AC138" s="280"/>
      <c r="AD138" s="280"/>
      <c r="AE138" s="280"/>
      <c r="AF138" s="280"/>
      <c r="AG138" s="280"/>
      <c r="AH138" s="280"/>
      <c r="AI138" s="280"/>
      <c r="AJ138" s="280"/>
      <c r="AK138" s="280"/>
      <c r="AL138" s="280"/>
      <c r="AM138" s="280"/>
      <c r="AN138" s="280"/>
      <c r="AO138" s="280"/>
      <c r="AP138" s="280"/>
      <c r="AQ138" s="280"/>
      <c r="AR138" s="280"/>
      <c r="AS138" s="280"/>
      <c r="AT138" s="280"/>
      <c r="AU138" s="280"/>
      <c r="AV138" s="280"/>
      <c r="AW138" s="280"/>
      <c r="AX138" s="280"/>
    </row>
    <row r="139" spans="1:50" ht="12.75" hidden="1" x14ac:dyDescent="0.2">
      <c r="A139" s="282"/>
      <c r="B139" s="280"/>
      <c r="C139" s="280"/>
      <c r="D139" s="280"/>
      <c r="E139" s="280"/>
      <c r="F139" s="280"/>
      <c r="G139" s="280"/>
      <c r="H139" s="280"/>
      <c r="I139" s="280"/>
      <c r="J139" s="280"/>
      <c r="K139" s="280"/>
      <c r="L139" s="280"/>
      <c r="M139" s="280"/>
      <c r="N139" s="280"/>
      <c r="O139" s="280"/>
      <c r="P139" s="280"/>
      <c r="Q139" s="280"/>
      <c r="R139" s="280"/>
      <c r="S139" s="280"/>
      <c r="T139" s="280"/>
      <c r="U139" s="280"/>
      <c r="V139" s="280"/>
      <c r="W139" s="280"/>
      <c r="X139" s="280"/>
      <c r="Y139" s="280"/>
      <c r="Z139" s="280"/>
      <c r="AA139" s="280"/>
      <c r="AB139" s="280"/>
      <c r="AC139" s="280"/>
      <c r="AD139" s="280"/>
      <c r="AE139" s="280"/>
      <c r="AF139" s="280"/>
      <c r="AG139" s="280"/>
      <c r="AH139" s="280"/>
      <c r="AI139" s="280"/>
      <c r="AJ139" s="280"/>
      <c r="AK139" s="280"/>
      <c r="AL139" s="280"/>
      <c r="AM139" s="280"/>
      <c r="AN139" s="280"/>
      <c r="AO139" s="280"/>
      <c r="AP139" s="280"/>
      <c r="AQ139" s="280"/>
      <c r="AR139" s="280"/>
      <c r="AS139" s="280"/>
      <c r="AT139" s="280"/>
      <c r="AU139" s="280"/>
      <c r="AV139" s="280"/>
      <c r="AW139" s="280"/>
      <c r="AX139" s="280"/>
    </row>
    <row r="140" spans="1:50" ht="12.75" hidden="1" x14ac:dyDescent="0.2">
      <c r="A140" s="282"/>
      <c r="B140" s="280"/>
      <c r="C140" s="280"/>
      <c r="D140" s="280"/>
      <c r="E140" s="280"/>
      <c r="F140" s="280"/>
      <c r="G140" s="280"/>
      <c r="H140" s="280"/>
      <c r="I140" s="280"/>
      <c r="J140" s="280"/>
      <c r="K140" s="280"/>
      <c r="L140" s="280"/>
      <c r="M140" s="280"/>
      <c r="N140" s="280"/>
      <c r="O140" s="280"/>
      <c r="P140" s="280"/>
      <c r="Q140" s="280"/>
      <c r="R140" s="280"/>
      <c r="S140" s="280"/>
      <c r="T140" s="280"/>
      <c r="U140" s="280"/>
      <c r="V140" s="280"/>
      <c r="W140" s="280"/>
      <c r="X140" s="280"/>
      <c r="Y140" s="280"/>
      <c r="Z140" s="280"/>
      <c r="AA140" s="280"/>
      <c r="AB140" s="280"/>
      <c r="AC140" s="280"/>
      <c r="AD140" s="280"/>
      <c r="AE140" s="280"/>
      <c r="AF140" s="280"/>
      <c r="AG140" s="280"/>
      <c r="AH140" s="280"/>
      <c r="AI140" s="280"/>
      <c r="AJ140" s="280"/>
      <c r="AK140" s="280"/>
      <c r="AL140" s="280"/>
      <c r="AM140" s="280"/>
      <c r="AN140" s="280"/>
      <c r="AO140" s="280"/>
      <c r="AP140" s="280"/>
      <c r="AQ140" s="280"/>
      <c r="AR140" s="280"/>
      <c r="AS140" s="280"/>
      <c r="AT140" s="280"/>
      <c r="AU140" s="280"/>
      <c r="AV140" s="280"/>
      <c r="AW140" s="280"/>
      <c r="AX140" s="280"/>
    </row>
    <row r="141" spans="1:50" ht="12.75" hidden="1" x14ac:dyDescent="0.2">
      <c r="A141" s="282"/>
      <c r="B141" s="280"/>
      <c r="C141" s="280"/>
      <c r="D141" s="280"/>
      <c r="E141" s="280"/>
      <c r="F141" s="280"/>
      <c r="G141" s="280"/>
      <c r="H141" s="280"/>
      <c r="I141" s="280"/>
      <c r="J141" s="280"/>
      <c r="K141" s="280"/>
      <c r="L141" s="280"/>
      <c r="M141" s="280"/>
      <c r="N141" s="280"/>
      <c r="O141" s="280"/>
      <c r="P141" s="280"/>
      <c r="Q141" s="280"/>
      <c r="R141" s="280"/>
      <c r="S141" s="280"/>
      <c r="T141" s="280"/>
      <c r="U141" s="280"/>
      <c r="V141" s="280"/>
      <c r="W141" s="280"/>
      <c r="X141" s="280"/>
      <c r="Y141" s="280"/>
      <c r="Z141" s="280"/>
      <c r="AA141" s="280"/>
      <c r="AB141" s="280"/>
      <c r="AC141" s="280"/>
      <c r="AD141" s="280"/>
      <c r="AE141" s="280"/>
      <c r="AF141" s="280"/>
      <c r="AG141" s="280"/>
      <c r="AH141" s="280"/>
      <c r="AI141" s="280"/>
      <c r="AJ141" s="280"/>
      <c r="AK141" s="280"/>
      <c r="AL141" s="280"/>
      <c r="AM141" s="280"/>
      <c r="AN141" s="280"/>
      <c r="AO141" s="280"/>
      <c r="AP141" s="280"/>
      <c r="AQ141" s="280"/>
      <c r="AR141" s="280"/>
      <c r="AS141" s="280"/>
      <c r="AT141" s="280"/>
      <c r="AU141" s="280"/>
      <c r="AV141" s="280"/>
      <c r="AW141" s="280"/>
      <c r="AX141" s="280"/>
    </row>
    <row r="142" spans="1:50" ht="12.75" hidden="1" x14ac:dyDescent="0.2">
      <c r="A142" s="282"/>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Q142" s="280"/>
      <c r="AR142" s="280"/>
      <c r="AS142" s="280"/>
      <c r="AT142" s="280"/>
      <c r="AU142" s="280"/>
      <c r="AV142" s="280"/>
      <c r="AW142" s="280"/>
      <c r="AX142" s="280"/>
    </row>
    <row r="143" spans="1:50" ht="12.75" hidden="1" x14ac:dyDescent="0.2">
      <c r="A143" s="282"/>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row>
    <row r="144" spans="1:50" ht="12.75" hidden="1" x14ac:dyDescent="0.2">
      <c r="A144" s="282"/>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row>
    <row r="145" spans="1:50" ht="12.75" hidden="1" x14ac:dyDescent="0.2">
      <c r="A145" s="282"/>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row>
    <row r="146" spans="1:50" ht="12.75" hidden="1" x14ac:dyDescent="0.2">
      <c r="A146" s="282"/>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row>
    <row r="147" spans="1:50" ht="12.75" hidden="1" x14ac:dyDescent="0.2">
      <c r="A147" s="282"/>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row>
    <row r="148" spans="1:50" ht="12.75" hidden="1" x14ac:dyDescent="0.2">
      <c r="A148" s="282"/>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row>
    <row r="149" spans="1:50" ht="12.75" hidden="1" x14ac:dyDescent="0.2">
      <c r="A149" s="281"/>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row>
    <row r="150" spans="1:50" ht="12.75" hidden="1" x14ac:dyDescent="0.2">
      <c r="A150" s="281"/>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row>
    <row r="151" spans="1:50" ht="12.75" hidden="1" x14ac:dyDescent="0.2">
      <c r="A151" s="281"/>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row>
    <row r="152" spans="1:50" ht="12.75" hidden="1" x14ac:dyDescent="0.2">
      <c r="A152" s="281"/>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row>
    <row r="153" spans="1:50" ht="12.75" hidden="1" x14ac:dyDescent="0.2">
      <c r="A153" s="281"/>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row>
    <row r="154" spans="1:50" ht="12.75" hidden="1" x14ac:dyDescent="0.2">
      <c r="A154" s="281"/>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row>
    <row r="155" spans="1:50" ht="12.75" x14ac:dyDescent="0.2">
      <c r="A155" s="281"/>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row>
    <row r="156" spans="1:50" ht="12.75" x14ac:dyDescent="0.2">
      <c r="A156" s="281"/>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79"/>
      <c r="AR156" s="279"/>
      <c r="AS156" s="279"/>
      <c r="AT156" s="279"/>
      <c r="AU156" s="279"/>
      <c r="AV156" s="279"/>
      <c r="AW156" s="279"/>
      <c r="AX156" s="279"/>
    </row>
    <row r="157" spans="1:50" ht="12.75" x14ac:dyDescent="0.2">
      <c r="A157" s="281"/>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79"/>
      <c r="AR157" s="279"/>
      <c r="AS157" s="279"/>
      <c r="AT157" s="279"/>
      <c r="AU157" s="279"/>
      <c r="AV157" s="279"/>
      <c r="AW157" s="279"/>
      <c r="AX157" s="279"/>
    </row>
    <row r="158" spans="1:50" ht="12.75" x14ac:dyDescent="0.2">
      <c r="A158" s="281"/>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79"/>
      <c r="AR158" s="279"/>
      <c r="AS158" s="279"/>
      <c r="AT158" s="279"/>
      <c r="AU158" s="279"/>
      <c r="AV158" s="279"/>
      <c r="AW158" s="279"/>
      <c r="AX158" s="279"/>
    </row>
    <row r="159" spans="1:50" ht="12.75" x14ac:dyDescent="0.2">
      <c r="A159" s="281"/>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79"/>
      <c r="AR159" s="279"/>
      <c r="AS159" s="279"/>
      <c r="AT159" s="279"/>
      <c r="AU159" s="279"/>
      <c r="AV159" s="279"/>
      <c r="AW159" s="279"/>
      <c r="AX159" s="279"/>
    </row>
    <row r="160" spans="1:50" ht="12.75" x14ac:dyDescent="0.2">
      <c r="A160" s="281"/>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79"/>
      <c r="AR160" s="279"/>
      <c r="AS160" s="279"/>
      <c r="AT160" s="279"/>
      <c r="AU160" s="279"/>
      <c r="AV160" s="279"/>
      <c r="AW160" s="279"/>
      <c r="AX160" s="279"/>
    </row>
    <row r="161" spans="1:50" ht="12.75" x14ac:dyDescent="0.2">
      <c r="A161" s="281"/>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79"/>
      <c r="AR161" s="279"/>
      <c r="AS161" s="279"/>
      <c r="AT161" s="279"/>
      <c r="AU161" s="279"/>
      <c r="AV161" s="279"/>
      <c r="AW161" s="279"/>
      <c r="AX161" s="279"/>
    </row>
    <row r="162" spans="1:50" ht="12.75" x14ac:dyDescent="0.2">
      <c r="A162" s="281"/>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79"/>
      <c r="AR162" s="279"/>
      <c r="AS162" s="279"/>
      <c r="AT162" s="279"/>
      <c r="AU162" s="279"/>
      <c r="AV162" s="279"/>
      <c r="AW162" s="279"/>
      <c r="AX162" s="279"/>
    </row>
    <row r="163" spans="1:50" ht="12.75" x14ac:dyDescent="0.2">
      <c r="A163" s="281"/>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79"/>
      <c r="AR163" s="279"/>
      <c r="AS163" s="279"/>
      <c r="AT163" s="279"/>
      <c r="AU163" s="279"/>
      <c r="AV163" s="279"/>
      <c r="AW163" s="279"/>
      <c r="AX163" s="279"/>
    </row>
    <row r="164" spans="1:50" ht="12.75" x14ac:dyDescent="0.2">
      <c r="A164" s="281"/>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79"/>
      <c r="AR164" s="279"/>
      <c r="AS164" s="279"/>
      <c r="AT164" s="279"/>
      <c r="AU164" s="279"/>
      <c r="AV164" s="279"/>
      <c r="AW164" s="279"/>
      <c r="AX164" s="279"/>
    </row>
    <row r="165" spans="1:50" ht="12.75" x14ac:dyDescent="0.2">
      <c r="A165" s="281"/>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79"/>
      <c r="AR165" s="279"/>
      <c r="AS165" s="279"/>
      <c r="AT165" s="279"/>
      <c r="AU165" s="279"/>
      <c r="AV165" s="279"/>
      <c r="AW165" s="279"/>
      <c r="AX165" s="279"/>
    </row>
    <row r="166" spans="1:50" ht="12.75" x14ac:dyDescent="0.2">
      <c r="A166" s="281"/>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79"/>
      <c r="AR166" s="279"/>
      <c r="AS166" s="279"/>
      <c r="AT166" s="279"/>
      <c r="AU166" s="279"/>
      <c r="AV166" s="279"/>
      <c r="AW166" s="279"/>
      <c r="AX166" s="279"/>
    </row>
    <row r="167" spans="1:50" ht="12.75" x14ac:dyDescent="0.2">
      <c r="A167" s="281"/>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79"/>
      <c r="AR167" s="279"/>
      <c r="AS167" s="279"/>
      <c r="AT167" s="279"/>
      <c r="AU167" s="279"/>
      <c r="AV167" s="279"/>
      <c r="AW167" s="279"/>
      <c r="AX167" s="279"/>
    </row>
    <row r="168" spans="1:50" ht="12.75" x14ac:dyDescent="0.2">
      <c r="A168" s="281"/>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79"/>
      <c r="AR168" s="279"/>
      <c r="AS168" s="279"/>
      <c r="AT168" s="279"/>
      <c r="AU168" s="279"/>
      <c r="AV168" s="279"/>
      <c r="AW168" s="279"/>
      <c r="AX168" s="279"/>
    </row>
    <row r="169" spans="1:50" ht="12.75" x14ac:dyDescent="0.2">
      <c r="A169" s="281"/>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79"/>
      <c r="AR169" s="279"/>
      <c r="AS169" s="279"/>
      <c r="AT169" s="279"/>
      <c r="AU169" s="279"/>
      <c r="AV169" s="279"/>
      <c r="AW169" s="279"/>
      <c r="AX169" s="279"/>
    </row>
    <row r="170" spans="1:50" ht="12.75" x14ac:dyDescent="0.2">
      <c r="A170" s="281"/>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79"/>
      <c r="AR170" s="279"/>
      <c r="AS170" s="279"/>
      <c r="AT170" s="279"/>
      <c r="AU170" s="279"/>
      <c r="AV170" s="279"/>
      <c r="AW170" s="279"/>
      <c r="AX170" s="279"/>
    </row>
    <row r="171" spans="1:50" ht="12.75" x14ac:dyDescent="0.2">
      <c r="A171" s="281"/>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79"/>
      <c r="AR171" s="279"/>
      <c r="AS171" s="279"/>
      <c r="AT171" s="279"/>
      <c r="AU171" s="279"/>
      <c r="AV171" s="279"/>
      <c r="AW171" s="279"/>
      <c r="AX171" s="279"/>
    </row>
    <row r="172" spans="1:50" ht="12.75" x14ac:dyDescent="0.2">
      <c r="A172" s="281"/>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79"/>
      <c r="AR172" s="279"/>
      <c r="AS172" s="279"/>
      <c r="AT172" s="279"/>
      <c r="AU172" s="279"/>
      <c r="AV172" s="279"/>
      <c r="AW172" s="279"/>
      <c r="AX172" s="279"/>
    </row>
    <row r="173" spans="1:50" ht="12.75" x14ac:dyDescent="0.2">
      <c r="A173" s="281"/>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79"/>
      <c r="AR173" s="279"/>
      <c r="AS173" s="279"/>
      <c r="AT173" s="279"/>
      <c r="AU173" s="279"/>
      <c r="AV173" s="279"/>
      <c r="AW173" s="279"/>
      <c r="AX173" s="279"/>
    </row>
    <row r="174" spans="1:50" ht="12.75" x14ac:dyDescent="0.2">
      <c r="A174" s="281"/>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79"/>
      <c r="AR174" s="279"/>
      <c r="AS174" s="279"/>
      <c r="AT174" s="279"/>
      <c r="AU174" s="279"/>
      <c r="AV174" s="279"/>
      <c r="AW174" s="279"/>
      <c r="AX174" s="279"/>
    </row>
    <row r="175" spans="1:50" ht="12.75" x14ac:dyDescent="0.2">
      <c r="A175" s="281"/>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79"/>
      <c r="AR175" s="279"/>
      <c r="AS175" s="279"/>
      <c r="AT175" s="279"/>
      <c r="AU175" s="279"/>
      <c r="AV175" s="279"/>
      <c r="AW175" s="279"/>
      <c r="AX175" s="279"/>
    </row>
    <row r="176" spans="1:50" ht="12.75" x14ac:dyDescent="0.2">
      <c r="A176" s="281"/>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79"/>
      <c r="AR176" s="279"/>
      <c r="AS176" s="279"/>
      <c r="AT176" s="279"/>
      <c r="AU176" s="279"/>
      <c r="AV176" s="279"/>
      <c r="AW176" s="279"/>
      <c r="AX176" s="279"/>
    </row>
    <row r="177" spans="1:50" ht="12.75" x14ac:dyDescent="0.2">
      <c r="A177" s="281"/>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79"/>
      <c r="AR177" s="279"/>
      <c r="AS177" s="279"/>
      <c r="AT177" s="279"/>
      <c r="AU177" s="279"/>
      <c r="AV177" s="279"/>
      <c r="AW177" s="279"/>
      <c r="AX177" s="279"/>
    </row>
    <row r="178" spans="1:50" ht="12.75" x14ac:dyDescent="0.2">
      <c r="A178" s="281"/>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79"/>
      <c r="AR178" s="279"/>
      <c r="AS178" s="279"/>
      <c r="AT178" s="279"/>
      <c r="AU178" s="279"/>
      <c r="AV178" s="279"/>
      <c r="AW178" s="279"/>
      <c r="AX178" s="279"/>
    </row>
    <row r="179" spans="1:50" ht="12.75" x14ac:dyDescent="0.2">
      <c r="A179" s="281"/>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79"/>
      <c r="AR179" s="279"/>
      <c r="AS179" s="279"/>
      <c r="AT179" s="279"/>
      <c r="AU179" s="279"/>
      <c r="AV179" s="279"/>
      <c r="AW179" s="279"/>
      <c r="AX179" s="279"/>
    </row>
    <row r="180" spans="1:50" ht="12.75" x14ac:dyDescent="0.2">
      <c r="A180" s="281"/>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79"/>
      <c r="AR180" s="279"/>
      <c r="AS180" s="279"/>
      <c r="AT180" s="279"/>
      <c r="AU180" s="279"/>
      <c r="AV180" s="279"/>
      <c r="AW180" s="279"/>
      <c r="AX180" s="279"/>
    </row>
    <row r="181" spans="1:50" ht="12.75" x14ac:dyDescent="0.2">
      <c r="A181" s="281"/>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79"/>
      <c r="AR181" s="279"/>
      <c r="AS181" s="279"/>
      <c r="AT181" s="279"/>
      <c r="AU181" s="279"/>
      <c r="AV181" s="279"/>
      <c r="AW181" s="279"/>
      <c r="AX181" s="279"/>
    </row>
    <row r="182" spans="1:50" ht="12.75" x14ac:dyDescent="0.2">
      <c r="A182" s="281"/>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79"/>
      <c r="AR182" s="279"/>
      <c r="AS182" s="279"/>
      <c r="AT182" s="279"/>
      <c r="AU182" s="279"/>
      <c r="AV182" s="279"/>
      <c r="AW182" s="279"/>
      <c r="AX182" s="279"/>
    </row>
    <row r="183" spans="1:50" ht="12.75" x14ac:dyDescent="0.2">
      <c r="A183" s="281"/>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79"/>
      <c r="AR183" s="279"/>
      <c r="AS183" s="279"/>
      <c r="AT183" s="279"/>
      <c r="AU183" s="279"/>
      <c r="AV183" s="279"/>
      <c r="AW183" s="279"/>
      <c r="AX183" s="279"/>
    </row>
    <row r="184" spans="1:50" ht="12.75" x14ac:dyDescent="0.2">
      <c r="A184" s="281"/>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79"/>
      <c r="AR184" s="279"/>
      <c r="AS184" s="279"/>
      <c r="AT184" s="279"/>
      <c r="AU184" s="279"/>
      <c r="AV184" s="279"/>
      <c r="AW184" s="279"/>
      <c r="AX184" s="279"/>
    </row>
    <row r="185" spans="1:50" ht="12.75" x14ac:dyDescent="0.2">
      <c r="A185" s="281"/>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79"/>
      <c r="AR185" s="279"/>
      <c r="AS185" s="279"/>
      <c r="AT185" s="279"/>
      <c r="AU185" s="279"/>
      <c r="AV185" s="279"/>
      <c r="AW185" s="279"/>
      <c r="AX185" s="279"/>
    </row>
    <row r="186" spans="1:50" ht="12.75" x14ac:dyDescent="0.2">
      <c r="A186" s="281"/>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79"/>
      <c r="AR186" s="279"/>
      <c r="AS186" s="279"/>
      <c r="AT186" s="279"/>
      <c r="AU186" s="279"/>
      <c r="AV186" s="279"/>
      <c r="AW186" s="279"/>
      <c r="AX186" s="279"/>
    </row>
    <row r="187" spans="1:50" ht="12.75" x14ac:dyDescent="0.2">
      <c r="A187" s="281"/>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79"/>
      <c r="AR187" s="279"/>
      <c r="AS187" s="279"/>
      <c r="AT187" s="279"/>
      <c r="AU187" s="279"/>
      <c r="AV187" s="279"/>
      <c r="AW187" s="279"/>
      <c r="AX187" s="279"/>
    </row>
    <row r="188" spans="1:50" ht="12.75" x14ac:dyDescent="0.2">
      <c r="A188" s="281"/>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79"/>
      <c r="AR188" s="279"/>
      <c r="AS188" s="279"/>
      <c r="AT188" s="279"/>
      <c r="AU188" s="279"/>
      <c r="AV188" s="279"/>
      <c r="AW188" s="279"/>
      <c r="AX188" s="279"/>
    </row>
    <row r="189" spans="1:50" ht="12.75" x14ac:dyDescent="0.2">
      <c r="A189" s="281"/>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79"/>
      <c r="AR189" s="279"/>
      <c r="AS189" s="279"/>
      <c r="AT189" s="279"/>
      <c r="AU189" s="279"/>
      <c r="AV189" s="279"/>
      <c r="AW189" s="279"/>
      <c r="AX189" s="279"/>
    </row>
    <row r="190" spans="1:50" ht="12.75" x14ac:dyDescent="0.2">
      <c r="A190" s="281"/>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79"/>
      <c r="AR190" s="279"/>
      <c r="AS190" s="279"/>
      <c r="AT190" s="279"/>
      <c r="AU190" s="279"/>
      <c r="AV190" s="279"/>
      <c r="AW190" s="279"/>
      <c r="AX190" s="279"/>
    </row>
    <row r="191" spans="1:50" ht="12.75" x14ac:dyDescent="0.2">
      <c r="A191" s="281"/>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79"/>
      <c r="AR191" s="279"/>
      <c r="AS191" s="279"/>
      <c r="AT191" s="279"/>
      <c r="AU191" s="279"/>
      <c r="AV191" s="279"/>
      <c r="AW191" s="279"/>
      <c r="AX191" s="279"/>
    </row>
    <row r="192" spans="1:50" ht="12.75" x14ac:dyDescent="0.2">
      <c r="A192" s="281"/>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79"/>
      <c r="AR192" s="279"/>
      <c r="AS192" s="279"/>
      <c r="AT192" s="279"/>
      <c r="AU192" s="279"/>
      <c r="AV192" s="279"/>
      <c r="AW192" s="279"/>
      <c r="AX192" s="279"/>
    </row>
    <row r="193" spans="1:50" ht="12.75" x14ac:dyDescent="0.2">
      <c r="A193" s="281"/>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79"/>
      <c r="AR193" s="279"/>
      <c r="AS193" s="279"/>
      <c r="AT193" s="279"/>
      <c r="AU193" s="279"/>
      <c r="AV193" s="279"/>
      <c r="AW193" s="279"/>
      <c r="AX193" s="279"/>
    </row>
    <row r="194" spans="1:50" ht="12.75" x14ac:dyDescent="0.2">
      <c r="A194" s="281"/>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79"/>
      <c r="AR194" s="279"/>
      <c r="AS194" s="279"/>
      <c r="AT194" s="279"/>
      <c r="AU194" s="279"/>
      <c r="AV194" s="279"/>
      <c r="AW194" s="279"/>
      <c r="AX194" s="279"/>
    </row>
    <row r="195" spans="1:50" ht="12.75" x14ac:dyDescent="0.2">
      <c r="A195" s="281"/>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79"/>
      <c r="AR195" s="279"/>
      <c r="AS195" s="279"/>
      <c r="AT195" s="279"/>
      <c r="AU195" s="279"/>
      <c r="AV195" s="279"/>
      <c r="AW195" s="279"/>
      <c r="AX195" s="279"/>
    </row>
    <row r="196" spans="1:50" ht="12.75" x14ac:dyDescent="0.2">
      <c r="A196" s="281"/>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79"/>
      <c r="AR196" s="279"/>
      <c r="AS196" s="279"/>
      <c r="AT196" s="279"/>
      <c r="AU196" s="279"/>
      <c r="AV196" s="279"/>
      <c r="AW196" s="279"/>
      <c r="AX196" s="279"/>
    </row>
    <row r="197" spans="1:50" ht="12.75" x14ac:dyDescent="0.2">
      <c r="A197" s="281"/>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79"/>
      <c r="AR197" s="279"/>
      <c r="AS197" s="279"/>
      <c r="AT197" s="279"/>
      <c r="AU197" s="279"/>
      <c r="AV197" s="279"/>
      <c r="AW197" s="279"/>
      <c r="AX197" s="279"/>
    </row>
    <row r="198" spans="1:50" ht="12.75" x14ac:dyDescent="0.2">
      <c r="A198" s="281"/>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79"/>
      <c r="AR198" s="279"/>
      <c r="AS198" s="279"/>
      <c r="AT198" s="279"/>
      <c r="AU198" s="279"/>
      <c r="AV198" s="279"/>
      <c r="AW198" s="279"/>
      <c r="AX198" s="279"/>
    </row>
    <row r="199" spans="1:50" ht="12.75" x14ac:dyDescent="0.2">
      <c r="A199" s="281"/>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79"/>
      <c r="AR199" s="279"/>
      <c r="AS199" s="279"/>
      <c r="AT199" s="279"/>
      <c r="AU199" s="279"/>
      <c r="AV199" s="279"/>
      <c r="AW199" s="279"/>
      <c r="AX199" s="279"/>
    </row>
    <row r="200" spans="1:50" ht="12.75" x14ac:dyDescent="0.2">
      <c r="A200" s="281"/>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79"/>
      <c r="AR200" s="279"/>
      <c r="AS200" s="279"/>
      <c r="AT200" s="279"/>
      <c r="AU200" s="279"/>
      <c r="AV200" s="279"/>
      <c r="AW200" s="279"/>
      <c r="AX200" s="279"/>
    </row>
    <row r="201" spans="1:50" ht="12.75" x14ac:dyDescent="0.2">
      <c r="A201" s="281"/>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79"/>
      <c r="AR201" s="279"/>
      <c r="AS201" s="279"/>
      <c r="AT201" s="279"/>
      <c r="AU201" s="279"/>
      <c r="AV201" s="279"/>
      <c r="AW201" s="279"/>
      <c r="AX201" s="279"/>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09:C109"/>
    <mergeCell ref="D109:E109"/>
    <mergeCell ref="D115:D118"/>
    <mergeCell ref="G115:G118"/>
  </mergeCells>
  <pageMargins left="0.70866141732283472" right="0.70866141732283472" top="0.38" bottom="0.42" header="0.31496062992125984" footer="0.31496062992125984"/>
  <pageSetup paperSize="9"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0" zoomScale="70" zoomScaleNormal="100" zoomScaleSheetLayoutView="70" workbookViewId="0">
      <selection activeCell="M21" sqref="A21:XFD21"/>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397" t="str">
        <f>'5. анализ эконом эфф'!A5</f>
        <v>Год раскрытия информации: 2025 год</v>
      </c>
      <c r="B5" s="397"/>
      <c r="C5" s="397"/>
      <c r="D5" s="397"/>
      <c r="E5" s="397"/>
      <c r="F5" s="397"/>
      <c r="G5" s="397"/>
      <c r="H5" s="397"/>
      <c r="I5" s="397"/>
      <c r="J5" s="397"/>
      <c r="K5" s="397"/>
    </row>
    <row r="6" spans="1:11" ht="15.75" x14ac:dyDescent="0.25">
      <c r="A6" s="17"/>
      <c r="B6" s="17"/>
      <c r="C6" s="52"/>
      <c r="D6" s="52"/>
      <c r="E6" s="52"/>
      <c r="F6" s="52"/>
      <c r="G6" s="52"/>
      <c r="H6" s="52"/>
      <c r="I6" s="52"/>
      <c r="J6" s="17"/>
      <c r="K6" s="17"/>
    </row>
    <row r="7" spans="1:11" ht="18.75" x14ac:dyDescent="0.25">
      <c r="A7" s="479" t="s">
        <v>7</v>
      </c>
      <c r="B7" s="479"/>
      <c r="C7" s="479"/>
      <c r="D7" s="479"/>
      <c r="E7" s="479"/>
      <c r="F7" s="479"/>
      <c r="G7" s="479"/>
      <c r="H7" s="479"/>
      <c r="I7" s="479"/>
      <c r="J7" s="479"/>
      <c r="K7" s="479"/>
    </row>
    <row r="8" spans="1:11" ht="18.75" x14ac:dyDescent="0.25">
      <c r="A8" s="479"/>
      <c r="B8" s="479"/>
      <c r="C8" s="479"/>
      <c r="D8" s="479"/>
      <c r="E8" s="479"/>
      <c r="F8" s="479"/>
      <c r="G8" s="479"/>
      <c r="H8" s="479"/>
      <c r="I8" s="479"/>
      <c r="J8" s="479"/>
      <c r="K8" s="479"/>
    </row>
    <row r="9" spans="1:11" ht="15.75" x14ac:dyDescent="0.25">
      <c r="A9" s="480" t="str">
        <f>'5. анализ эконом эфф'!A9</f>
        <v>Акционерное общество "Россети Янтарь" ДЗО  ПАО "Россети"</v>
      </c>
      <c r="B9" s="480"/>
      <c r="C9" s="480"/>
      <c r="D9" s="480"/>
      <c r="E9" s="480"/>
      <c r="F9" s="480"/>
      <c r="G9" s="480"/>
      <c r="H9" s="480"/>
      <c r="I9" s="480"/>
      <c r="J9" s="480"/>
      <c r="K9" s="480"/>
    </row>
    <row r="10" spans="1:11" ht="15.75" x14ac:dyDescent="0.25">
      <c r="A10" s="466" t="s">
        <v>6</v>
      </c>
      <c r="B10" s="466"/>
      <c r="C10" s="466"/>
      <c r="D10" s="466"/>
      <c r="E10" s="466"/>
      <c r="F10" s="466"/>
      <c r="G10" s="466"/>
      <c r="H10" s="466"/>
      <c r="I10" s="466"/>
      <c r="J10" s="466"/>
      <c r="K10" s="466"/>
    </row>
    <row r="11" spans="1:11" ht="18.75" x14ac:dyDescent="0.25">
      <c r="A11" s="479"/>
      <c r="B11" s="479"/>
      <c r="C11" s="479"/>
      <c r="D11" s="479"/>
      <c r="E11" s="479"/>
      <c r="F11" s="479"/>
      <c r="G11" s="479"/>
      <c r="H11" s="479"/>
      <c r="I11" s="479"/>
      <c r="J11" s="479"/>
      <c r="K11" s="479"/>
    </row>
    <row r="12" spans="1:11" ht="15.75" x14ac:dyDescent="0.25">
      <c r="A12" s="480" t="str">
        <f>'5. анализ эконом эфф'!A12</f>
        <v>N_21-1806</v>
      </c>
      <c r="B12" s="480"/>
      <c r="C12" s="480"/>
      <c r="D12" s="480"/>
      <c r="E12" s="480"/>
      <c r="F12" s="480"/>
      <c r="G12" s="480"/>
      <c r="H12" s="480"/>
      <c r="I12" s="480"/>
      <c r="J12" s="480"/>
      <c r="K12" s="480"/>
    </row>
    <row r="13" spans="1:11" ht="15.75" x14ac:dyDescent="0.25">
      <c r="A13" s="466" t="s">
        <v>5</v>
      </c>
      <c r="B13" s="466"/>
      <c r="C13" s="466"/>
      <c r="D13" s="466"/>
      <c r="E13" s="466"/>
      <c r="F13" s="466"/>
      <c r="G13" s="466"/>
      <c r="H13" s="466"/>
      <c r="I13" s="466"/>
      <c r="J13" s="466"/>
      <c r="K13" s="466"/>
    </row>
    <row r="14" spans="1:11" ht="18.75" x14ac:dyDescent="0.25">
      <c r="A14" s="410"/>
      <c r="B14" s="410"/>
      <c r="C14" s="410"/>
      <c r="D14" s="410"/>
      <c r="E14" s="410"/>
      <c r="F14" s="410"/>
      <c r="G14" s="410"/>
      <c r="H14" s="410"/>
      <c r="I14" s="410"/>
      <c r="J14" s="410"/>
      <c r="K14" s="410"/>
    </row>
    <row r="15" spans="1:11" ht="48.75" customHeight="1" x14ac:dyDescent="0.25">
      <c r="A15" s="467" t="str">
        <f>'5. анализ эконом эфф'!A15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67"/>
      <c r="C15" s="467"/>
      <c r="D15" s="467"/>
      <c r="E15" s="467"/>
      <c r="F15" s="467"/>
      <c r="G15" s="467"/>
      <c r="H15" s="467"/>
      <c r="I15" s="467"/>
      <c r="J15" s="467"/>
      <c r="K15" s="467"/>
    </row>
    <row r="16" spans="1:11" ht="15.75" x14ac:dyDescent="0.25">
      <c r="A16" s="466" t="s">
        <v>4</v>
      </c>
      <c r="B16" s="466"/>
      <c r="C16" s="466"/>
      <c r="D16" s="466"/>
      <c r="E16" s="466"/>
      <c r="F16" s="466"/>
      <c r="G16" s="466"/>
      <c r="H16" s="466"/>
      <c r="I16" s="466"/>
      <c r="J16" s="466"/>
      <c r="K16" s="46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74" t="s">
        <v>358</v>
      </c>
      <c r="B19" s="474"/>
      <c r="C19" s="474"/>
      <c r="D19" s="474"/>
      <c r="E19" s="474"/>
      <c r="F19" s="474"/>
      <c r="G19" s="474"/>
      <c r="H19" s="474"/>
      <c r="I19" s="474"/>
      <c r="J19" s="474"/>
      <c r="K19" s="474"/>
    </row>
    <row r="20" spans="1:12" ht="15.75" x14ac:dyDescent="0.25">
      <c r="A20" s="53"/>
      <c r="K20" s="52"/>
    </row>
    <row r="21" spans="1:12" ht="15.75" x14ac:dyDescent="0.25">
      <c r="A21" s="468" t="s">
        <v>193</v>
      </c>
      <c r="B21" s="468" t="s">
        <v>396</v>
      </c>
      <c r="C21" s="468" t="s">
        <v>401</v>
      </c>
      <c r="D21" s="468"/>
      <c r="E21" s="468"/>
      <c r="F21" s="468"/>
      <c r="G21" s="468"/>
      <c r="H21" s="468"/>
      <c r="I21" s="469" t="s">
        <v>192</v>
      </c>
      <c r="J21" s="470" t="s">
        <v>402</v>
      </c>
      <c r="K21" s="468" t="s">
        <v>191</v>
      </c>
      <c r="L21" s="465" t="s">
        <v>463</v>
      </c>
    </row>
    <row r="22" spans="1:12" ht="59.25" customHeight="1" x14ac:dyDescent="0.25">
      <c r="A22" s="468"/>
      <c r="B22" s="468"/>
      <c r="C22" s="473" t="s">
        <v>2</v>
      </c>
      <c r="D22" s="473"/>
      <c r="E22" s="477" t="s">
        <v>9</v>
      </c>
      <c r="F22" s="478"/>
      <c r="G22" s="475" t="s">
        <v>176</v>
      </c>
      <c r="H22" s="476"/>
      <c r="I22" s="469"/>
      <c r="J22" s="471"/>
      <c r="K22" s="468"/>
      <c r="L22" s="465"/>
    </row>
    <row r="23" spans="1:12" ht="31.5" x14ac:dyDescent="0.25">
      <c r="A23" s="468"/>
      <c r="B23" s="468"/>
      <c r="C23" s="135" t="s">
        <v>190</v>
      </c>
      <c r="D23" s="135" t="s">
        <v>189</v>
      </c>
      <c r="E23" s="135" t="s">
        <v>190</v>
      </c>
      <c r="F23" s="135" t="s">
        <v>189</v>
      </c>
      <c r="G23" s="135" t="s">
        <v>190</v>
      </c>
      <c r="H23" s="135" t="s">
        <v>189</v>
      </c>
      <c r="I23" s="469"/>
      <c r="J23" s="472"/>
      <c r="K23" s="468"/>
      <c r="L23" s="465"/>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318">
        <v>1</v>
      </c>
      <c r="B25" s="319" t="s">
        <v>188</v>
      </c>
      <c r="C25" s="148"/>
      <c r="D25" s="136"/>
      <c r="E25" s="136"/>
      <c r="F25" s="136"/>
      <c r="G25" s="136"/>
      <c r="H25" s="148"/>
      <c r="I25" s="148"/>
      <c r="J25" s="141"/>
      <c r="K25" s="142"/>
      <c r="L25" s="143"/>
    </row>
    <row r="26" spans="1:12" ht="15.75" x14ac:dyDescent="0.25">
      <c r="A26" s="318" t="s">
        <v>403</v>
      </c>
      <c r="B26" s="320" t="s">
        <v>404</v>
      </c>
      <c r="C26" s="157">
        <v>44494</v>
      </c>
      <c r="D26" s="157">
        <v>44494</v>
      </c>
      <c r="E26" s="157">
        <v>44368</v>
      </c>
      <c r="F26" s="157">
        <v>44368</v>
      </c>
      <c r="G26" s="157">
        <v>44494</v>
      </c>
      <c r="H26" s="157">
        <v>44494</v>
      </c>
      <c r="I26" s="296">
        <v>100</v>
      </c>
      <c r="J26" s="296"/>
      <c r="K26" s="142"/>
      <c r="L26" s="142"/>
    </row>
    <row r="27" spans="1:12" ht="31.5" x14ac:dyDescent="0.25">
      <c r="A27" s="318" t="s">
        <v>406</v>
      </c>
      <c r="B27" s="320" t="s">
        <v>407</v>
      </c>
      <c r="C27" s="156" t="s">
        <v>405</v>
      </c>
      <c r="D27" s="157" t="str">
        <f t="shared" ref="D27:D30" si="0">C27</f>
        <v>не требуется</v>
      </c>
      <c r="E27" s="156" t="s">
        <v>405</v>
      </c>
      <c r="F27" s="157" t="str">
        <f t="shared" ref="F27:F30" si="1">E27</f>
        <v>не требуется</v>
      </c>
      <c r="G27" s="156" t="s">
        <v>405</v>
      </c>
      <c r="H27" s="157" t="str">
        <f t="shared" ref="H27:H30" si="2">G27</f>
        <v>не требуется</v>
      </c>
      <c r="I27" s="159"/>
      <c r="J27" s="136"/>
      <c r="K27" s="142"/>
      <c r="L27" s="142"/>
    </row>
    <row r="28" spans="1:12" ht="47.25" x14ac:dyDescent="0.25">
      <c r="A28" s="318" t="s">
        <v>580</v>
      </c>
      <c r="B28" s="320" t="s">
        <v>408</v>
      </c>
      <c r="C28" s="156" t="s">
        <v>405</v>
      </c>
      <c r="D28" s="157" t="str">
        <f t="shared" si="0"/>
        <v>не требуется</v>
      </c>
      <c r="E28" s="156" t="s">
        <v>405</v>
      </c>
      <c r="F28" s="157" t="str">
        <f t="shared" si="1"/>
        <v>не требуется</v>
      </c>
      <c r="G28" s="156" t="s">
        <v>405</v>
      </c>
      <c r="H28" s="157" t="str">
        <f t="shared" si="2"/>
        <v>не требуется</v>
      </c>
      <c r="I28" s="159"/>
      <c r="J28" s="136"/>
      <c r="K28" s="142"/>
      <c r="L28" s="142"/>
    </row>
    <row r="29" spans="1:12" ht="31.5" x14ac:dyDescent="0.25">
      <c r="A29" s="318" t="s">
        <v>409</v>
      </c>
      <c r="B29" s="320" t="s">
        <v>410</v>
      </c>
      <c r="C29" s="156" t="s">
        <v>405</v>
      </c>
      <c r="D29" s="157" t="str">
        <f t="shared" si="0"/>
        <v>не требуется</v>
      </c>
      <c r="E29" s="156" t="s">
        <v>405</v>
      </c>
      <c r="F29" s="157" t="str">
        <f t="shared" si="1"/>
        <v>не требуется</v>
      </c>
      <c r="G29" s="156" t="s">
        <v>405</v>
      </c>
      <c r="H29" s="157" t="str">
        <f t="shared" si="2"/>
        <v>не требуется</v>
      </c>
      <c r="I29" s="159"/>
      <c r="J29" s="137"/>
      <c r="K29" s="142"/>
      <c r="L29" s="142"/>
    </row>
    <row r="30" spans="1:12" ht="31.5" x14ac:dyDescent="0.25">
      <c r="A30" s="318" t="s">
        <v>411</v>
      </c>
      <c r="B30" s="320" t="s">
        <v>412</v>
      </c>
      <c r="C30" s="156" t="s">
        <v>405</v>
      </c>
      <c r="D30" s="157" t="str">
        <f t="shared" si="0"/>
        <v>не требуется</v>
      </c>
      <c r="E30" s="156" t="s">
        <v>405</v>
      </c>
      <c r="F30" s="157" t="str">
        <f t="shared" si="1"/>
        <v>не требуется</v>
      </c>
      <c r="G30" s="156" t="s">
        <v>405</v>
      </c>
      <c r="H30" s="157" t="str">
        <f t="shared" si="2"/>
        <v>не требуется</v>
      </c>
      <c r="I30" s="159"/>
      <c r="J30" s="141"/>
      <c r="K30" s="142"/>
      <c r="L30" s="142"/>
    </row>
    <row r="31" spans="1:12" ht="31.5" x14ac:dyDescent="0.25">
      <c r="A31" s="318" t="s">
        <v>413</v>
      </c>
      <c r="B31" s="321" t="s">
        <v>322</v>
      </c>
      <c r="C31" s="156">
        <v>44678</v>
      </c>
      <c r="D31" s="156">
        <v>44678</v>
      </c>
      <c r="E31" s="156">
        <v>44544</v>
      </c>
      <c r="F31" s="156">
        <v>44544</v>
      </c>
      <c r="G31" s="156">
        <v>44678</v>
      </c>
      <c r="H31" s="156">
        <v>44678</v>
      </c>
      <c r="I31" s="296">
        <v>100</v>
      </c>
      <c r="J31" s="141"/>
      <c r="K31" s="142"/>
      <c r="L31" s="142"/>
    </row>
    <row r="32" spans="1:12" ht="31.5" x14ac:dyDescent="0.25">
      <c r="A32" s="318" t="s">
        <v>414</v>
      </c>
      <c r="B32" s="321" t="s">
        <v>415</v>
      </c>
      <c r="C32" s="156">
        <v>45035</v>
      </c>
      <c r="D32" s="157">
        <v>45035</v>
      </c>
      <c r="E32" s="156">
        <v>44736</v>
      </c>
      <c r="F32" s="157">
        <v>44736</v>
      </c>
      <c r="G32" s="156">
        <v>45035</v>
      </c>
      <c r="H32" s="157">
        <v>45035</v>
      </c>
      <c r="I32" s="296">
        <v>100</v>
      </c>
      <c r="J32" s="296"/>
      <c r="K32" s="142"/>
      <c r="L32" s="142"/>
    </row>
    <row r="33" spans="1:12" ht="47.25" x14ac:dyDescent="0.25">
      <c r="A33" s="318" t="s">
        <v>416</v>
      </c>
      <c r="B33" s="321" t="s">
        <v>417</v>
      </c>
      <c r="C33" s="156" t="s">
        <v>405</v>
      </c>
      <c r="D33" s="157" t="str">
        <f t="shared" ref="D33:D34" si="3">C33</f>
        <v>не требуется</v>
      </c>
      <c r="E33" s="156" t="s">
        <v>405</v>
      </c>
      <c r="F33" s="157" t="str">
        <f t="shared" ref="F33:F34" si="4">E33</f>
        <v>не требуется</v>
      </c>
      <c r="G33" s="156" t="s">
        <v>405</v>
      </c>
      <c r="H33" s="157" t="str">
        <f t="shared" ref="H33:H34" si="5">G33</f>
        <v>не требуется</v>
      </c>
      <c r="I33" s="159"/>
      <c r="J33" s="137"/>
      <c r="K33" s="142"/>
      <c r="L33" s="142"/>
    </row>
    <row r="34" spans="1:12" ht="63" x14ac:dyDescent="0.25">
      <c r="A34" s="318" t="s">
        <v>418</v>
      </c>
      <c r="B34" s="321" t="s">
        <v>419</v>
      </c>
      <c r="C34" s="156" t="s">
        <v>405</v>
      </c>
      <c r="D34" s="157" t="str">
        <f t="shared" si="3"/>
        <v>не требуется</v>
      </c>
      <c r="E34" s="156" t="s">
        <v>405</v>
      </c>
      <c r="F34" s="157" t="str">
        <f t="shared" si="4"/>
        <v>не требуется</v>
      </c>
      <c r="G34" s="156" t="s">
        <v>405</v>
      </c>
      <c r="H34" s="157" t="str">
        <f t="shared" si="5"/>
        <v>не требуется</v>
      </c>
      <c r="I34" s="160"/>
      <c r="J34" s="136"/>
      <c r="K34" s="144"/>
      <c r="L34" s="142"/>
    </row>
    <row r="35" spans="1:12" ht="31.5" x14ac:dyDescent="0.25">
      <c r="A35" s="318" t="s">
        <v>420</v>
      </c>
      <c r="B35" s="321" t="s">
        <v>187</v>
      </c>
      <c r="C35" s="156">
        <v>45035</v>
      </c>
      <c r="D35" s="157">
        <v>45046</v>
      </c>
      <c r="E35" s="157">
        <v>44872</v>
      </c>
      <c r="F35" s="157">
        <v>44872</v>
      </c>
      <c r="G35" s="156">
        <v>45035</v>
      </c>
      <c r="H35" s="157">
        <v>45046</v>
      </c>
      <c r="I35" s="296"/>
      <c r="J35" s="296"/>
      <c r="K35" s="144"/>
      <c r="L35" s="142"/>
    </row>
    <row r="36" spans="1:12" ht="31.5" x14ac:dyDescent="0.25">
      <c r="A36" s="318" t="s">
        <v>421</v>
      </c>
      <c r="B36" s="321" t="s">
        <v>422</v>
      </c>
      <c r="C36" s="156" t="s">
        <v>405</v>
      </c>
      <c r="D36" s="157" t="str">
        <f t="shared" ref="D36" si="6">C36</f>
        <v>не требуется</v>
      </c>
      <c r="E36" s="156" t="s">
        <v>405</v>
      </c>
      <c r="F36" s="157" t="str">
        <f t="shared" ref="F36" si="7">E36</f>
        <v>не требуется</v>
      </c>
      <c r="G36" s="156" t="s">
        <v>405</v>
      </c>
      <c r="H36" s="157" t="str">
        <f t="shared" ref="H36" si="8">G36</f>
        <v>не требуется</v>
      </c>
      <c r="I36" s="161"/>
      <c r="J36" s="137"/>
      <c r="K36" s="145"/>
      <c r="L36" s="142"/>
    </row>
    <row r="37" spans="1:12" ht="15.75" x14ac:dyDescent="0.25">
      <c r="A37" s="318" t="s">
        <v>423</v>
      </c>
      <c r="B37" s="321" t="s">
        <v>186</v>
      </c>
      <c r="C37" s="156">
        <v>45035</v>
      </c>
      <c r="D37" s="157">
        <v>45035</v>
      </c>
      <c r="E37" s="157">
        <v>44736</v>
      </c>
      <c r="F37" s="157">
        <v>44736</v>
      </c>
      <c r="G37" s="156">
        <v>45035</v>
      </c>
      <c r="H37" s="157">
        <v>45035</v>
      </c>
      <c r="I37" s="296">
        <v>100</v>
      </c>
      <c r="J37" s="296"/>
      <c r="K37" s="145"/>
      <c r="L37" s="142"/>
    </row>
    <row r="38" spans="1:12" ht="15.75" x14ac:dyDescent="0.25">
      <c r="A38" s="318" t="s">
        <v>424</v>
      </c>
      <c r="B38" s="319" t="s">
        <v>185</v>
      </c>
      <c r="C38" s="157"/>
      <c r="D38" s="157"/>
      <c r="E38" s="157"/>
      <c r="F38" s="157"/>
      <c r="G38" s="157"/>
      <c r="H38" s="157"/>
      <c r="I38" s="162"/>
      <c r="J38" s="142"/>
      <c r="K38" s="142"/>
      <c r="L38" s="142"/>
    </row>
    <row r="39" spans="1:12" ht="63" x14ac:dyDescent="0.25">
      <c r="A39" s="318">
        <v>2</v>
      </c>
      <c r="B39" s="321" t="s">
        <v>425</v>
      </c>
      <c r="C39" s="157">
        <v>44678</v>
      </c>
      <c r="D39" s="157">
        <v>44678</v>
      </c>
      <c r="E39" s="157">
        <v>44872</v>
      </c>
      <c r="F39" s="157">
        <v>44872</v>
      </c>
      <c r="G39" s="157">
        <v>44678</v>
      </c>
      <c r="H39" s="157">
        <v>44678</v>
      </c>
      <c r="I39" s="296">
        <v>100</v>
      </c>
      <c r="J39" s="296"/>
      <c r="K39" s="142"/>
      <c r="L39" s="142"/>
    </row>
    <row r="40" spans="1:12" ht="15.75" x14ac:dyDescent="0.25">
      <c r="A40" s="318" t="s">
        <v>426</v>
      </c>
      <c r="B40" s="321" t="s">
        <v>427</v>
      </c>
      <c r="C40" s="156" t="s">
        <v>405</v>
      </c>
      <c r="D40" s="157" t="str">
        <f t="shared" ref="D40" si="9">C40</f>
        <v>не требуется</v>
      </c>
      <c r="E40" s="156" t="s">
        <v>405</v>
      </c>
      <c r="F40" s="157" t="str">
        <f t="shared" ref="F40" si="10">E40</f>
        <v>не требуется</v>
      </c>
      <c r="G40" s="156" t="s">
        <v>405</v>
      </c>
      <c r="H40" s="157" t="str">
        <f t="shared" ref="H40" si="11">G40</f>
        <v>не требуется</v>
      </c>
      <c r="I40" s="163"/>
      <c r="J40" s="140"/>
      <c r="K40" s="142"/>
      <c r="L40" s="142"/>
    </row>
    <row r="41" spans="1:12" ht="47.25" x14ac:dyDescent="0.25">
      <c r="A41" s="318" t="s">
        <v>428</v>
      </c>
      <c r="B41" s="319" t="s">
        <v>429</v>
      </c>
      <c r="C41" s="157"/>
      <c r="D41" s="222"/>
      <c r="E41" s="157"/>
      <c r="F41" s="222"/>
      <c r="G41" s="157"/>
      <c r="H41" s="222"/>
      <c r="I41" s="162"/>
      <c r="J41" s="142"/>
      <c r="K41" s="142"/>
      <c r="L41" s="142"/>
    </row>
    <row r="42" spans="1:12" ht="31.5" x14ac:dyDescent="0.25">
      <c r="A42" s="318">
        <v>3</v>
      </c>
      <c r="B42" s="321" t="s">
        <v>430</v>
      </c>
      <c r="C42" s="156" t="s">
        <v>405</v>
      </c>
      <c r="D42" s="157" t="str">
        <f t="shared" ref="D42:D43" si="12">C42</f>
        <v>не требуется</v>
      </c>
      <c r="E42" s="156" t="s">
        <v>405</v>
      </c>
      <c r="F42" s="157" t="str">
        <f t="shared" ref="F42:F43" si="13">E42</f>
        <v>не требуется</v>
      </c>
      <c r="G42" s="156" t="s">
        <v>405</v>
      </c>
      <c r="H42" s="157" t="str">
        <f t="shared" ref="H42:H43" si="14">G42</f>
        <v>не требуется</v>
      </c>
      <c r="I42" s="163"/>
      <c r="J42" s="138"/>
      <c r="K42" s="142"/>
      <c r="L42" s="142"/>
    </row>
    <row r="43" spans="1:12" ht="15.75" x14ac:dyDescent="0.25">
      <c r="A43" s="318" t="s">
        <v>431</v>
      </c>
      <c r="B43" s="321" t="s">
        <v>184</v>
      </c>
      <c r="C43" s="156" t="s">
        <v>405</v>
      </c>
      <c r="D43" s="157" t="str">
        <f t="shared" si="12"/>
        <v>не требуется</v>
      </c>
      <c r="E43" s="156" t="s">
        <v>405</v>
      </c>
      <c r="F43" s="157" t="str">
        <f t="shared" si="13"/>
        <v>не требуется</v>
      </c>
      <c r="G43" s="156" t="s">
        <v>405</v>
      </c>
      <c r="H43" s="157" t="str">
        <f t="shared" si="14"/>
        <v>не требуется</v>
      </c>
      <c r="I43" s="162"/>
      <c r="J43" s="136"/>
      <c r="K43" s="142"/>
      <c r="L43" s="142"/>
    </row>
    <row r="44" spans="1:12" ht="15.75" x14ac:dyDescent="0.25">
      <c r="A44" s="318" t="s">
        <v>432</v>
      </c>
      <c r="B44" s="321" t="s">
        <v>433</v>
      </c>
      <c r="C44" s="157">
        <v>45017</v>
      </c>
      <c r="D44" s="157">
        <v>45580</v>
      </c>
      <c r="E44" s="156">
        <v>44896</v>
      </c>
      <c r="F44" s="156">
        <v>44925</v>
      </c>
      <c r="G44" s="157">
        <v>45017</v>
      </c>
      <c r="H44" s="157">
        <v>45580</v>
      </c>
      <c r="I44" s="296">
        <v>85</v>
      </c>
      <c r="J44" s="296"/>
      <c r="K44" s="142"/>
      <c r="L44" s="142"/>
    </row>
    <row r="45" spans="1:12" ht="78.75" x14ac:dyDescent="0.25">
      <c r="A45" s="318" t="s">
        <v>434</v>
      </c>
      <c r="B45" s="321" t="s">
        <v>435</v>
      </c>
      <c r="C45" s="156" t="s">
        <v>405</v>
      </c>
      <c r="D45" s="157" t="str">
        <f t="shared" ref="D45:D46" si="15">C45</f>
        <v>не требуется</v>
      </c>
      <c r="E45" s="156" t="s">
        <v>405</v>
      </c>
      <c r="F45" s="157" t="str">
        <f t="shared" ref="F45:F46" si="16">E45</f>
        <v>не требуется</v>
      </c>
      <c r="G45" s="156" t="s">
        <v>405</v>
      </c>
      <c r="H45" s="157" t="str">
        <f t="shared" ref="H45:H46" si="17">G45</f>
        <v>не требуется</v>
      </c>
      <c r="I45" s="162"/>
      <c r="J45" s="142"/>
      <c r="K45" s="142"/>
      <c r="L45" s="142"/>
    </row>
    <row r="46" spans="1:12" ht="157.5" x14ac:dyDescent="0.25">
      <c r="A46" s="318" t="s">
        <v>436</v>
      </c>
      <c r="B46" s="321" t="s">
        <v>437</v>
      </c>
      <c r="C46" s="156" t="s">
        <v>405</v>
      </c>
      <c r="D46" s="157" t="str">
        <f t="shared" si="15"/>
        <v>не требуется</v>
      </c>
      <c r="E46" s="156" t="s">
        <v>405</v>
      </c>
      <c r="F46" s="157" t="str">
        <f t="shared" si="16"/>
        <v>не требуется</v>
      </c>
      <c r="G46" s="156" t="s">
        <v>405</v>
      </c>
      <c r="H46" s="157" t="str">
        <f t="shared" si="17"/>
        <v>не требуется</v>
      </c>
      <c r="I46" s="162"/>
      <c r="J46" s="142"/>
      <c r="K46" s="142"/>
      <c r="L46" s="142"/>
    </row>
    <row r="47" spans="1:12" ht="15.75" x14ac:dyDescent="0.25">
      <c r="A47" s="318" t="s">
        <v>438</v>
      </c>
      <c r="B47" s="321" t="s">
        <v>439</v>
      </c>
      <c r="C47" s="157">
        <v>45580</v>
      </c>
      <c r="D47" s="157">
        <v>45657</v>
      </c>
      <c r="E47" s="157"/>
      <c r="F47" s="157"/>
      <c r="G47" s="157">
        <v>45580</v>
      </c>
      <c r="H47" s="157">
        <v>45657</v>
      </c>
      <c r="I47" s="296"/>
      <c r="J47" s="296"/>
      <c r="K47" s="142"/>
      <c r="L47" s="142"/>
    </row>
    <row r="48" spans="1:12" ht="31.5" x14ac:dyDescent="0.25">
      <c r="A48" s="318" t="s">
        <v>581</v>
      </c>
      <c r="B48" s="319" t="s">
        <v>183</v>
      </c>
      <c r="C48" s="157"/>
      <c r="D48" s="158"/>
      <c r="E48" s="157"/>
      <c r="F48" s="222"/>
      <c r="G48" s="157"/>
      <c r="H48" s="158"/>
      <c r="I48" s="162"/>
      <c r="J48" s="142"/>
      <c r="K48" s="142"/>
      <c r="L48" s="142"/>
    </row>
    <row r="49" spans="1:12" ht="31.5" x14ac:dyDescent="0.25">
      <c r="A49" s="318">
        <v>4</v>
      </c>
      <c r="B49" s="321" t="s">
        <v>182</v>
      </c>
      <c r="C49" s="157">
        <v>45580</v>
      </c>
      <c r="D49" s="157">
        <v>45657</v>
      </c>
      <c r="E49" s="157"/>
      <c r="F49" s="157"/>
      <c r="G49" s="157">
        <v>45580</v>
      </c>
      <c r="H49" s="157">
        <v>45657</v>
      </c>
      <c r="I49" s="296"/>
      <c r="J49" s="296"/>
      <c r="K49" s="142"/>
      <c r="L49" s="142"/>
    </row>
    <row r="50" spans="1:12" ht="78.75" x14ac:dyDescent="0.25">
      <c r="A50" s="318" t="s">
        <v>582</v>
      </c>
      <c r="B50" s="321" t="s">
        <v>440</v>
      </c>
      <c r="C50" s="157">
        <v>45580</v>
      </c>
      <c r="D50" s="157">
        <v>45657</v>
      </c>
      <c r="E50" s="157"/>
      <c r="F50" s="157"/>
      <c r="G50" s="157">
        <v>45580</v>
      </c>
      <c r="H50" s="157">
        <v>45657</v>
      </c>
      <c r="I50" s="296"/>
      <c r="J50" s="296"/>
      <c r="K50" s="142"/>
      <c r="L50" s="142"/>
    </row>
    <row r="51" spans="1:12" ht="63" x14ac:dyDescent="0.25">
      <c r="A51" s="318" t="s">
        <v>441</v>
      </c>
      <c r="B51" s="321" t="s">
        <v>442</v>
      </c>
      <c r="C51" s="156" t="s">
        <v>405</v>
      </c>
      <c r="D51" s="157" t="str">
        <f t="shared" ref="D51" si="18">C51</f>
        <v>не требуется</v>
      </c>
      <c r="E51" s="156"/>
      <c r="F51" s="157"/>
      <c r="G51" s="156" t="s">
        <v>405</v>
      </c>
      <c r="H51" s="157" t="str">
        <f t="shared" ref="H51" si="19">G51</f>
        <v>не требуется</v>
      </c>
      <c r="I51" s="162"/>
      <c r="J51" s="142"/>
      <c r="K51" s="142"/>
      <c r="L51" s="142"/>
    </row>
    <row r="52" spans="1:12" ht="63" x14ac:dyDescent="0.25">
      <c r="A52" s="318" t="s">
        <v>443</v>
      </c>
      <c r="B52" s="321" t="s">
        <v>444</v>
      </c>
      <c r="C52" s="157">
        <v>45580</v>
      </c>
      <c r="D52" s="157">
        <v>45657</v>
      </c>
      <c r="E52" s="157"/>
      <c r="F52" s="157"/>
      <c r="G52" s="157">
        <v>45580</v>
      </c>
      <c r="H52" s="157">
        <v>45657</v>
      </c>
      <c r="I52" s="296"/>
      <c r="J52" s="136"/>
      <c r="K52" s="142"/>
      <c r="L52" s="142"/>
    </row>
    <row r="53" spans="1:12" ht="31.5" x14ac:dyDescent="0.25">
      <c r="A53" s="318" t="s">
        <v>445</v>
      </c>
      <c r="B53" s="322" t="s">
        <v>446</v>
      </c>
      <c r="C53" s="157">
        <v>45580</v>
      </c>
      <c r="D53" s="157">
        <v>45657</v>
      </c>
      <c r="E53" s="157"/>
      <c r="F53" s="157"/>
      <c r="G53" s="157">
        <v>45580</v>
      </c>
      <c r="H53" s="157">
        <v>45657</v>
      </c>
      <c r="I53" s="296"/>
      <c r="J53" s="296"/>
      <c r="K53" s="142"/>
      <c r="L53" s="142"/>
    </row>
    <row r="54" spans="1:12" ht="31.5" x14ac:dyDescent="0.25">
      <c r="A54" s="318" t="s">
        <v>447</v>
      </c>
      <c r="B54" s="321" t="s">
        <v>448</v>
      </c>
      <c r="C54" s="156" t="s">
        <v>405</v>
      </c>
      <c r="D54" s="157" t="str">
        <f t="shared" ref="D54" si="20">C54</f>
        <v>не требуется</v>
      </c>
      <c r="E54" s="156"/>
      <c r="F54" s="157"/>
      <c r="G54" s="156" t="s">
        <v>405</v>
      </c>
      <c r="H54" s="157" t="str">
        <f t="shared" ref="H54" si="21">G54</f>
        <v>не требуется</v>
      </c>
      <c r="I54" s="162"/>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2024-03-31T11:38:25Z</cp:lastPrinted>
  <dcterms:created xsi:type="dcterms:W3CDTF">2015-08-16T15:31:05Z</dcterms:created>
  <dcterms:modified xsi:type="dcterms:W3CDTF">2025-05-05T11:37:01Z</dcterms:modified>
</cp:coreProperties>
</file>